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 defaultThemeVersion="124226"/>
  <bookViews>
    <workbookView xWindow="9705" yWindow="-15" windowWidth="9510" windowHeight="8805"/>
  </bookViews>
  <sheets>
    <sheet name="Sheet1" sheetId="1" r:id="rId1"/>
  </sheets>
  <definedNames>
    <definedName name="AG_Option">Sheet1!$H$50</definedName>
    <definedName name="AmineTypes">Sheet1!$AO$1:$AO$7</definedName>
    <definedName name="AmineTypeUsed">Sheet1!$B$12</definedName>
    <definedName name="BisulfideWtFr">Sheet1!$D$39</definedName>
    <definedName name="ChargeBal">Sheet1!$G$50</definedName>
    <definedName name="_xlnm.Print_Area" localSheetId="0">Sheet1!$A$1:$K$66</definedName>
    <definedName name="solver_adj" localSheetId="0" hidden="1">Sheet1!$D$39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Sheet1!$G$50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  <definedName name="WaterOptions">Sheet1!$AS$1:$AS$2</definedName>
  </definedNames>
  <calcPr calcId="145621" iterateDelta="9.9999999999999995E-8"/>
</workbook>
</file>

<file path=xl/calcChain.xml><?xml version="1.0" encoding="utf-8"?>
<calcChain xmlns="http://schemas.openxmlformats.org/spreadsheetml/2006/main">
  <c r="B62" i="1" l="1"/>
  <c r="F53" i="1"/>
  <c r="D48" i="1"/>
  <c r="E46" i="1"/>
  <c r="G46" i="1" s="1"/>
  <c r="D46" i="1"/>
  <c r="E45" i="1"/>
  <c r="G45" i="1" s="1"/>
  <c r="D45" i="1"/>
  <c r="E44" i="1"/>
  <c r="G44" i="1" s="1"/>
  <c r="D44" i="1"/>
  <c r="E43" i="1"/>
  <c r="G43" i="1" s="1"/>
  <c r="D43" i="1"/>
  <c r="E42" i="1"/>
  <c r="G42" i="1" s="1"/>
  <c r="D42" i="1"/>
  <c r="D41" i="1"/>
  <c r="C39" i="1"/>
  <c r="C38" i="1"/>
  <c r="D38" i="1" s="1"/>
  <c r="D37" i="1"/>
  <c r="B37" i="1"/>
  <c r="D36" i="1"/>
  <c r="B36" i="1"/>
  <c r="C34" i="1"/>
  <c r="D34" i="1" s="1"/>
  <c r="D33" i="1"/>
  <c r="D32" i="1"/>
  <c r="D31" i="1"/>
  <c r="B31" i="1"/>
  <c r="D30" i="1"/>
  <c r="D29" i="1"/>
  <c r="D28" i="1"/>
  <c r="D27" i="1"/>
  <c r="D26" i="1"/>
  <c r="D25" i="1"/>
  <c r="B25" i="1"/>
  <c r="D24" i="1"/>
  <c r="D23" i="1"/>
  <c r="D22" i="1"/>
  <c r="D21" i="1"/>
  <c r="C19" i="1"/>
  <c r="D19" i="1" s="1"/>
  <c r="D18" i="1"/>
  <c r="D17" i="1"/>
  <c r="C15" i="1"/>
  <c r="B63" i="1" s="1"/>
  <c r="D14" i="1"/>
  <c r="D13" i="1"/>
  <c r="D49" i="1" s="1"/>
  <c r="D50" i="1" s="1"/>
  <c r="C50" i="1" s="1"/>
  <c r="B13" i="1"/>
  <c r="D15" i="1" l="1"/>
  <c r="B38" i="1"/>
  <c r="C49" i="1"/>
  <c r="B14" i="1"/>
  <c r="B53" i="1" s="1"/>
  <c r="E48" i="1" s="1"/>
  <c r="B50" i="1" l="1"/>
  <c r="E31" i="1"/>
  <c r="G31" i="1" s="1"/>
  <c r="E22" i="1"/>
  <c r="G22" i="1" s="1"/>
  <c r="E17" i="1"/>
  <c r="E36" i="1"/>
  <c r="G36" i="1" s="1"/>
  <c r="E30" i="1"/>
  <c r="G30" i="1" s="1"/>
  <c r="E29" i="1"/>
  <c r="G29" i="1" s="1"/>
  <c r="E28" i="1"/>
  <c r="G28" i="1" s="1"/>
  <c r="E24" i="1"/>
  <c r="G24" i="1" s="1"/>
  <c r="E23" i="1"/>
  <c r="G23" i="1" s="1"/>
  <c r="E49" i="1"/>
  <c r="E41" i="1"/>
  <c r="G41" i="1" s="1"/>
  <c r="E39" i="1"/>
  <c r="G39" i="1" s="1"/>
  <c r="E38" i="1"/>
  <c r="G38" i="1" s="1"/>
  <c r="E37" i="1"/>
  <c r="G37" i="1" s="1"/>
  <c r="E33" i="1"/>
  <c r="G33" i="1" s="1"/>
  <c r="E32" i="1"/>
  <c r="G32" i="1" s="1"/>
  <c r="E27" i="1"/>
  <c r="G27" i="1" s="1"/>
  <c r="E26" i="1"/>
  <c r="G26" i="1" s="1"/>
  <c r="E25" i="1"/>
  <c r="G25" i="1" s="1"/>
  <c r="E21" i="1"/>
  <c r="G21" i="1" s="1"/>
  <c r="E18" i="1"/>
  <c r="G18" i="1" s="1"/>
  <c r="E13" i="1"/>
  <c r="E14" i="1"/>
  <c r="G14" i="1" s="1"/>
  <c r="G34" i="1" l="1"/>
  <c r="E50" i="1"/>
  <c r="E15" i="1"/>
  <c r="B54" i="1" s="1"/>
  <c r="E34" i="1"/>
  <c r="B34" i="1" s="1"/>
  <c r="B58" i="1"/>
  <c r="B60" i="1"/>
  <c r="B57" i="1"/>
  <c r="E19" i="1"/>
  <c r="B19" i="1" s="1"/>
  <c r="G17" i="1"/>
  <c r="G19" i="1" s="1"/>
  <c r="B59" i="1" l="1"/>
  <c r="C57" i="1"/>
  <c r="B65" i="1"/>
  <c r="B64" i="1"/>
  <c r="B66" i="1" s="1"/>
  <c r="G50" i="1"/>
  <c r="D52" i="1" s="1"/>
  <c r="C60" i="1"/>
  <c r="C58" i="1"/>
  <c r="C59" i="1" l="1"/>
</calcChain>
</file>

<file path=xl/comments1.xml><?xml version="1.0" encoding="utf-8"?>
<comments xmlns="http://schemas.openxmlformats.org/spreadsheetml/2006/main">
  <authors>
    <author>Nate Hatcher</author>
  </authors>
  <commentList>
    <comment ref="F37" authorId="0">
      <text>
        <r>
          <rPr>
            <b/>
            <sz val="9"/>
            <color indexed="81"/>
            <rFont val="Tahoma"/>
            <family val="2"/>
          </rPr>
          <t>Nate Hatcher:</t>
        </r>
        <r>
          <rPr>
            <sz val="9"/>
            <color indexed="81"/>
            <rFont val="Tahoma"/>
            <family val="2"/>
          </rPr>
          <t xml:space="preserve">
Currently, the charge is only valid for MDEA and tertiary amine dominant systems without significant concentrations of carbamates.</t>
        </r>
      </text>
    </comment>
    <comment ref="D39" authorId="0">
      <text>
        <r>
          <rPr>
            <b/>
            <sz val="9"/>
            <color indexed="81"/>
            <rFont val="Tahoma"/>
            <family val="2"/>
          </rPr>
          <t>Nate Hatcher:</t>
        </r>
        <r>
          <rPr>
            <sz val="9"/>
            <color indexed="81"/>
            <rFont val="Tahoma"/>
            <family val="2"/>
          </rPr>
          <t xml:space="preserve">
This value is iterated upon to close the solution charge balance if the {Solve} button below is clicked.</t>
        </r>
      </text>
    </comment>
  </commentList>
</comments>
</file>

<file path=xl/sharedStrings.xml><?xml version="1.0" encoding="utf-8"?>
<sst xmlns="http://schemas.openxmlformats.org/spreadsheetml/2006/main" count="109" uniqueCount="99">
  <si>
    <t>Amine</t>
  </si>
  <si>
    <t>wt%</t>
  </si>
  <si>
    <t>Total</t>
  </si>
  <si>
    <t>ppmw</t>
  </si>
  <si>
    <t>mol/mol amine</t>
  </si>
  <si>
    <t>Calculation status</t>
  </si>
  <si>
    <t>MEA</t>
  </si>
  <si>
    <t>DEA</t>
  </si>
  <si>
    <t>MDEA</t>
  </si>
  <si>
    <t>DGA</t>
  </si>
  <si>
    <t>Piperazine</t>
  </si>
  <si>
    <t>DIPA</t>
  </si>
  <si>
    <t>Analysis</t>
  </si>
  <si>
    <t>Free Amine</t>
  </si>
  <si>
    <t>Notes</t>
  </si>
  <si>
    <r>
      <t>Sodium (Na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2"/>
      </rPr>
      <t>)</t>
    </r>
  </si>
  <si>
    <r>
      <t>Potassium (K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2"/>
      </rPr>
      <t>)</t>
    </r>
  </si>
  <si>
    <r>
      <t>Formate (HCOO</t>
    </r>
    <r>
      <rPr>
        <vertAlign val="superscript"/>
        <sz val="10"/>
        <rFont val="Arial"/>
        <family val="2"/>
      </rPr>
      <t>−</t>
    </r>
    <r>
      <rPr>
        <sz val="10"/>
        <rFont val="Arial"/>
        <family val="2"/>
      </rPr>
      <t>)</t>
    </r>
  </si>
  <si>
    <r>
      <t>Acetate (CH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COO</t>
    </r>
    <r>
      <rPr>
        <vertAlign val="superscript"/>
        <sz val="10"/>
        <rFont val="Arial"/>
        <family val="2"/>
      </rPr>
      <t>−</t>
    </r>
    <r>
      <rPr>
        <sz val="10"/>
        <rFont val="Arial"/>
        <family val="2"/>
      </rPr>
      <t>)</t>
    </r>
  </si>
  <si>
    <r>
      <t>Glycolate (C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  <r>
      <rPr>
        <vertAlign val="superscript"/>
        <sz val="10"/>
        <rFont val="Arial"/>
        <family val="2"/>
      </rPr>
      <t>−</t>
    </r>
    <r>
      <rPr>
        <sz val="10"/>
        <rFont val="Arial"/>
        <family val="2"/>
      </rPr>
      <t>)</t>
    </r>
  </si>
  <si>
    <r>
      <t>Propionate (C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COO</t>
    </r>
    <r>
      <rPr>
        <vertAlign val="superscript"/>
        <sz val="10"/>
        <rFont val="Arial"/>
        <family val="2"/>
      </rPr>
      <t>−</t>
    </r>
    <r>
      <rPr>
        <sz val="10"/>
        <rFont val="Arial"/>
        <family val="2"/>
      </rPr>
      <t>)</t>
    </r>
  </si>
  <si>
    <r>
      <t>Oxalate (C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4</t>
    </r>
    <r>
      <rPr>
        <vertAlign val="superscript"/>
        <sz val="10"/>
        <rFont val="Arial"/>
        <family val="2"/>
      </rPr>
      <t>=</t>
    </r>
    <r>
      <rPr>
        <sz val="10"/>
        <rFont val="Arial"/>
        <family val="2"/>
      </rPr>
      <t>)</t>
    </r>
  </si>
  <si>
    <r>
      <t>Phosphate (PO</t>
    </r>
    <r>
      <rPr>
        <vertAlign val="subscript"/>
        <sz val="10"/>
        <rFont val="Arial"/>
        <family val="2"/>
      </rPr>
      <t>4</t>
    </r>
    <r>
      <rPr>
        <vertAlign val="superscript"/>
        <sz val="10"/>
        <rFont val="Arial"/>
        <family val="2"/>
      </rPr>
      <t>−3</t>
    </r>
    <r>
      <rPr>
        <sz val="10"/>
        <rFont val="Arial"/>
        <family val="2"/>
      </rPr>
      <t>)</t>
    </r>
  </si>
  <si>
    <r>
      <t>Chloride (Cl</t>
    </r>
    <r>
      <rPr>
        <vertAlign val="superscript"/>
        <sz val="10"/>
        <rFont val="Arial"/>
        <family val="2"/>
      </rPr>
      <t>−</t>
    </r>
    <r>
      <rPr>
        <sz val="10"/>
        <rFont val="Arial"/>
        <family val="2"/>
      </rPr>
      <t>)</t>
    </r>
  </si>
  <si>
    <r>
      <t>Sulfate (SO</t>
    </r>
    <r>
      <rPr>
        <vertAlign val="subscript"/>
        <sz val="10"/>
        <rFont val="Arial"/>
        <family val="2"/>
      </rPr>
      <t>4</t>
    </r>
    <r>
      <rPr>
        <vertAlign val="superscript"/>
        <sz val="10"/>
        <rFont val="Arial"/>
        <family val="2"/>
      </rPr>
      <t>=</t>
    </r>
    <r>
      <rPr>
        <sz val="10"/>
        <rFont val="Arial"/>
        <family val="2"/>
      </rPr>
      <t>)</t>
    </r>
  </si>
  <si>
    <r>
      <t>Sulfite (SO</t>
    </r>
    <r>
      <rPr>
        <vertAlign val="subscript"/>
        <sz val="10"/>
        <rFont val="Arial"/>
        <family val="2"/>
      </rPr>
      <t>3</t>
    </r>
    <r>
      <rPr>
        <vertAlign val="superscript"/>
        <sz val="10"/>
        <rFont val="Arial"/>
        <family val="2"/>
      </rPr>
      <t>−</t>
    </r>
    <r>
      <rPr>
        <sz val="10"/>
        <rFont val="Arial"/>
        <family val="2"/>
      </rPr>
      <t>)</t>
    </r>
  </si>
  <si>
    <r>
      <t>Thiosulfate (S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  <r>
      <rPr>
        <vertAlign val="superscript"/>
        <sz val="10"/>
        <rFont val="Arial"/>
        <family val="2"/>
      </rPr>
      <t>=</t>
    </r>
    <r>
      <rPr>
        <sz val="10"/>
        <rFont val="Arial"/>
        <family val="2"/>
      </rPr>
      <t>)</t>
    </r>
  </si>
  <si>
    <r>
      <t>Thiocyanate (SCN</t>
    </r>
    <r>
      <rPr>
        <vertAlign val="superscript"/>
        <sz val="10"/>
        <rFont val="Arial"/>
        <family val="2"/>
      </rPr>
      <t>−</t>
    </r>
    <r>
      <rPr>
        <sz val="10"/>
        <rFont val="Arial"/>
        <family val="2"/>
      </rPr>
      <t>)</t>
    </r>
  </si>
  <si>
    <r>
      <t>Bound (AmineH</t>
    </r>
    <r>
      <rPr>
        <vertAlign val="superscript"/>
        <sz val="10"/>
        <rFont val="Arial"/>
        <family val="2"/>
      </rPr>
      <t>+</t>
    </r>
    <r>
      <rPr>
        <sz val="10"/>
        <rFont val="Arial"/>
        <family val="2"/>
      </rPr>
      <t>)</t>
    </r>
  </si>
  <si>
    <t xml:space="preserve">Strong Base Cations </t>
  </si>
  <si>
    <t xml:space="preserve">Strong Acid Anions </t>
  </si>
  <si>
    <t>Mole Fr. Charge</t>
  </si>
  <si>
    <t>Parameter</t>
  </si>
  <si>
    <t>Mole Fraction</t>
  </si>
  <si>
    <t>Weight Fraction</t>
  </si>
  <si>
    <t>Heat stable amine salts (HSAS)</t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</si>
  <si>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 (measured)</t>
    </r>
  </si>
  <si>
    <r>
      <t>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(measured)</t>
    </r>
  </si>
  <si>
    <t>Acid Gases</t>
  </si>
  <si>
    <t>Degradation Products</t>
  </si>
  <si>
    <t>Total acid gas (measured)</t>
  </si>
  <si>
    <r>
      <t>Water content by balance (H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O)</t>
    </r>
  </si>
  <si>
    <r>
      <t>Water (H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O)</t>
    </r>
  </si>
  <si>
    <t>Measured water content</t>
  </si>
  <si>
    <t>Product 2</t>
  </si>
  <si>
    <t>Product 3</t>
  </si>
  <si>
    <t>Product 4</t>
  </si>
  <si>
    <t>Product 5</t>
  </si>
  <si>
    <t>Bicine</t>
  </si>
  <si>
    <t>Use Measured</t>
  </si>
  <si>
    <t>Water Option</t>
  </si>
  <si>
    <t>Calculated</t>
  </si>
  <si>
    <t>Acid Gas Option</t>
  </si>
  <si>
    <t>Other Calculations</t>
  </si>
  <si>
    <t>Charge balanced total acid gas loading</t>
  </si>
  <si>
    <t>Total gmoles per g solution</t>
  </si>
  <si>
    <t>AMINE SOLUTION ANALYSIS VALIDATION TOOL</t>
  </si>
  <si>
    <t>%wt</t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</si>
  <si>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</t>
    </r>
  </si>
  <si>
    <r>
      <t>CO</t>
    </r>
    <r>
      <rPr>
        <vertAlign val="subscript"/>
        <sz val="10"/>
        <rFont val="Arial"/>
        <family val="2"/>
      </rPr>
      <t>2</t>
    </r>
  </si>
  <si>
    <t>mol/mol total amine</t>
  </si>
  <si>
    <t>For a "perfect" analysis, these should be in agreement</t>
  </si>
  <si>
    <t>Measured Acid Gas Loadings</t>
  </si>
  <si>
    <t>Mole Weight</t>
  </si>
  <si>
    <t>Residue (= 100 - Free Amine - Water)</t>
  </si>
  <si>
    <t>Solvent recovery</t>
  </si>
  <si>
    <t>%wt of solution</t>
  </si>
  <si>
    <t>Total Anions</t>
  </si>
  <si>
    <t>Compare this figure to a GC or IC reading</t>
  </si>
  <si>
    <t>Total Cations</t>
  </si>
  <si>
    <r>
      <t>Lactate (C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  <r>
      <rPr>
        <vertAlign val="superscript"/>
        <sz val="10"/>
        <rFont val="Arial"/>
        <family val="2"/>
      </rPr>
      <t>-</t>
    </r>
    <r>
      <rPr>
        <sz val="10"/>
        <rFont val="Arial"/>
        <family val="2"/>
      </rPr>
      <t>)</t>
    </r>
  </si>
  <si>
    <r>
      <t>Butyrate (C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H</t>
    </r>
    <r>
      <rPr>
        <vertAlign val="subscript"/>
        <sz val="10"/>
        <rFont val="Arial"/>
        <family val="2"/>
      </rPr>
      <t>7</t>
    </r>
    <r>
      <rPr>
        <sz val="10"/>
        <rFont val="Arial"/>
        <family val="2"/>
      </rPr>
      <t>COO</t>
    </r>
    <r>
      <rPr>
        <vertAlign val="superscript"/>
        <sz val="10"/>
        <rFont val="Arial"/>
        <family val="2"/>
      </rPr>
      <t>−</t>
    </r>
    <r>
      <rPr>
        <sz val="10"/>
        <rFont val="Arial"/>
        <family val="2"/>
      </rPr>
      <t>)</t>
    </r>
  </si>
  <si>
    <t>Charge balanced Total</t>
  </si>
  <si>
    <t>%wt of solution expressed as amine (can also be measured by titration)</t>
  </si>
  <si>
    <t>Percent HSS anions neutralized</t>
  </si>
  <si>
    <t>Company</t>
  </si>
  <si>
    <t>Site</t>
  </si>
  <si>
    <t>Unit</t>
  </si>
  <si>
    <t>Sample Date</t>
  </si>
  <si>
    <t>Lab</t>
  </si>
  <si>
    <t>Big Oil</t>
  </si>
  <si>
    <t>Gulf Coast</t>
  </si>
  <si>
    <t>In-house</t>
  </si>
  <si>
    <t>Ion Charge</t>
  </si>
  <si>
    <t>Optimized Gas Treating, Inc.</t>
  </si>
  <si>
    <t>avoid overneutralization (&gt;100%) for performance reasons, analytical interferences, and solids precipitation risks</t>
  </si>
  <si>
    <t>&lt; 8,000 - 10,000 ppmw for reasonable corrosion rates</t>
  </si>
  <si>
    <t>&lt;2,000 ppmw (primary) and &lt; 1,000 ppmw (TGU)</t>
  </si>
  <si>
    <t>mol/mol free
amine</t>
  </si>
  <si>
    <t>ProTreat ™</t>
  </si>
  <si>
    <t>Percent of amine bound with HSS</t>
  </si>
  <si>
    <r>
      <t>Total acid gas as HS</t>
    </r>
    <r>
      <rPr>
        <vertAlign val="superscript"/>
        <sz val="10"/>
        <rFont val="Arial"/>
        <family val="2"/>
      </rPr>
      <t>-</t>
    </r>
    <r>
      <rPr>
        <sz val="10"/>
        <rFont val="Arial"/>
        <family val="2"/>
      </rPr>
      <t xml:space="preserve"> (charge balance)</t>
    </r>
  </si>
  <si>
    <r>
      <t>Limits for stainless may be needed if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S isn't processed</t>
    </r>
  </si>
  <si>
    <t>Also called Regenerable Free Base (RFB) and alkalinity</t>
  </si>
  <si>
    <t>Titrated or backcalculated from Total - Free</t>
  </si>
  <si>
    <t>TGU #2</t>
  </si>
  <si>
    <t>http://www.ogtrt.com/contactor.cfm</t>
  </si>
  <si>
    <t>and read Vol_2 Issue_2</t>
  </si>
  <si>
    <t xml:space="preserve">For information on how to use this calculator, visit: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</si>
</sst>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0"/>
    <numFmt numFmtId="165" formatCode="0.0"/>
    <numFmt numFmtId="166" formatCode="0.000"/>
    <numFmt numFmtId="167" formatCode="0.0000"/>
    <numFmt numFmtId="168" formatCode="0.000000"/>
    <numFmt numFmtId="169" formatCode="0.000E+00"/>
  </numFmts>
  <fonts count="21" x14ac:knownFonts="1">
    <font>
      <sz val="10"/>
      <name val="Arial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rgb="FF000000"/>
      <name val="Arial"/>
      <family val="2"/>
    </font>
    <font>
      <b/>
      <vertAlign val="subscript"/>
      <sz val="10"/>
      <name val="Arial"/>
      <family val="2"/>
    </font>
    <font>
      <sz val="10"/>
      <color rgb="FF0000FF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name val="Arial"/>
      <family val="2"/>
    </font>
    <font>
      <sz val="10"/>
      <color rgb="FFFF0000"/>
      <name val="Arial"/>
      <family val="2"/>
    </font>
    <font>
      <b/>
      <i/>
      <sz val="14"/>
      <color indexed="10"/>
      <name val="Times New Roman"/>
      <family val="1"/>
    </font>
    <font>
      <b/>
      <sz val="14"/>
      <color rgb="FFFF0000"/>
      <name val="Arial"/>
      <family val="2"/>
    </font>
    <font>
      <b/>
      <sz val="10"/>
      <color indexed="12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 applyFill="0"/>
    <xf numFmtId="0" fontId="19" fillId="0" borderId="0" applyNumberFormat="0" applyFill="0" applyBorder="0" applyAlignment="0" applyProtection="0">
      <alignment vertical="top"/>
      <protection locked="0"/>
    </xf>
  </cellStyleXfs>
  <cellXfs count="203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/>
    <xf numFmtId="0" fontId="1" fillId="0" borderId="0" xfId="0" quotePrefix="1" applyFont="1" applyAlignment="1" applyProtection="1">
      <alignment horizontal="left"/>
    </xf>
    <xf numFmtId="0" fontId="5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Protection="1">
      <protection locked="0"/>
    </xf>
    <xf numFmtId="0" fontId="0" fillId="0" borderId="0" xfId="0" applyBorder="1" applyProtection="1"/>
    <xf numFmtId="0" fontId="3" fillId="0" borderId="0" xfId="0" applyFont="1" applyBorder="1" applyProtection="1">
      <protection locked="0"/>
    </xf>
    <xf numFmtId="0" fontId="1" fillId="0" borderId="0" xfId="0" applyFont="1" applyBorder="1" applyProtection="1"/>
    <xf numFmtId="166" fontId="3" fillId="0" borderId="0" xfId="0" applyNumberFormat="1" applyFont="1" applyBorder="1" applyProtection="1"/>
    <xf numFmtId="168" fontId="0" fillId="0" borderId="0" xfId="0" applyNumberFormat="1" applyBorder="1" applyProtection="1"/>
    <xf numFmtId="164" fontId="0" fillId="0" borderId="0" xfId="0" applyNumberFormat="1" applyBorder="1" applyAlignment="1" applyProtection="1">
      <alignment horizontal="right"/>
    </xf>
    <xf numFmtId="0" fontId="3" fillId="0" borderId="0" xfId="0" quotePrefix="1" applyFont="1" applyAlignment="1" applyProtection="1">
      <alignment horizontal="left"/>
    </xf>
    <xf numFmtId="167" fontId="3" fillId="0" borderId="0" xfId="0" applyNumberFormat="1" applyFont="1" applyAlignment="1" applyProtection="1">
      <alignment horizontal="right"/>
    </xf>
    <xf numFmtId="0" fontId="4" fillId="0" borderId="9" xfId="0" applyFont="1" applyBorder="1" applyAlignment="1" applyProtection="1">
      <alignment horizontal="right"/>
      <protection locked="0"/>
    </xf>
    <xf numFmtId="0" fontId="1" fillId="0" borderId="10" xfId="0" applyFont="1" applyBorder="1" applyAlignment="1" applyProtection="1">
      <alignment horizontal="center"/>
    </xf>
    <xf numFmtId="0" fontId="0" fillId="0" borderId="10" xfId="0" applyFill="1" applyBorder="1" applyProtection="1"/>
    <xf numFmtId="0" fontId="0" fillId="0" borderId="11" xfId="0" applyFill="1" applyBorder="1" applyProtection="1"/>
    <xf numFmtId="166" fontId="0" fillId="0" borderId="9" xfId="0" applyNumberFormat="1" applyBorder="1" applyProtection="1"/>
    <xf numFmtId="0" fontId="2" fillId="0" borderId="10" xfId="0" applyFont="1" applyBorder="1" applyProtection="1">
      <protection locked="0"/>
    </xf>
    <xf numFmtId="168" fontId="0" fillId="0" borderId="10" xfId="0" applyNumberFormat="1" applyBorder="1" applyProtection="1"/>
    <xf numFmtId="164" fontId="0" fillId="0" borderId="10" xfId="0" applyNumberFormat="1" applyBorder="1" applyProtection="1"/>
    <xf numFmtId="0" fontId="0" fillId="0" borderId="11" xfId="0" applyFill="1" applyBorder="1" applyAlignment="1" applyProtection="1">
      <alignment horizontal="right"/>
    </xf>
    <xf numFmtId="165" fontId="2" fillId="0" borderId="10" xfId="0" applyNumberFormat="1" applyFont="1" applyBorder="1" applyProtection="1">
      <protection locked="0"/>
    </xf>
    <xf numFmtId="164" fontId="0" fillId="0" borderId="11" xfId="0" applyNumberFormat="1" applyBorder="1" applyAlignment="1" applyProtection="1">
      <alignment horizontal="right"/>
    </xf>
    <xf numFmtId="166" fontId="0" fillId="0" borderId="12" xfId="0" applyNumberFormat="1" applyBorder="1" applyProtection="1"/>
    <xf numFmtId="168" fontId="0" fillId="0" borderId="13" xfId="0" applyNumberFormat="1" applyBorder="1" applyProtection="1"/>
    <xf numFmtId="164" fontId="0" fillId="0" borderId="13" xfId="0" applyNumberFormat="1" applyBorder="1" applyProtection="1"/>
    <xf numFmtId="164" fontId="0" fillId="0" borderId="14" xfId="0" applyNumberFormat="1" applyFill="1" applyBorder="1" applyAlignment="1" applyProtection="1">
      <alignment horizontal="right"/>
    </xf>
    <xf numFmtId="166" fontId="1" fillId="0" borderId="9" xfId="0" applyNumberFormat="1" applyFont="1" applyFill="1" applyBorder="1" applyProtection="1"/>
    <xf numFmtId="0" fontId="0" fillId="0" borderId="10" xfId="0" applyBorder="1" applyProtection="1"/>
    <xf numFmtId="0" fontId="4" fillId="0" borderId="10" xfId="0" applyFont="1" applyBorder="1" applyProtection="1">
      <protection locked="0"/>
    </xf>
    <xf numFmtId="166" fontId="1" fillId="0" borderId="15" xfId="0" applyNumberFormat="1" applyFont="1" applyFill="1" applyBorder="1" applyProtection="1"/>
    <xf numFmtId="0" fontId="1" fillId="0" borderId="16" xfId="0" applyFont="1" applyBorder="1" applyAlignment="1" applyProtection="1">
      <alignment horizontal="center"/>
    </xf>
    <xf numFmtId="0" fontId="0" fillId="0" borderId="16" xfId="0" applyFill="1" applyBorder="1" applyProtection="1"/>
    <xf numFmtId="164" fontId="0" fillId="0" borderId="16" xfId="0" applyNumberFormat="1" applyFill="1" applyBorder="1" applyProtection="1"/>
    <xf numFmtId="164" fontId="0" fillId="0" borderId="17" xfId="0" applyNumberFormat="1" applyFill="1" applyBorder="1" applyAlignment="1" applyProtection="1">
      <alignment horizontal="right"/>
    </xf>
    <xf numFmtId="0" fontId="4" fillId="0" borderId="13" xfId="0" applyFont="1" applyBorder="1" applyProtection="1">
      <protection locked="0"/>
    </xf>
    <xf numFmtId="166" fontId="3" fillId="0" borderId="9" xfId="0" applyNumberFormat="1" applyFont="1" applyFill="1" applyBorder="1" applyProtection="1"/>
    <xf numFmtId="168" fontId="0" fillId="0" borderId="10" xfId="0" applyNumberFormat="1" applyFill="1" applyBorder="1" applyProtection="1"/>
    <xf numFmtId="164" fontId="0" fillId="0" borderId="11" xfId="0" applyNumberFormat="1" applyFill="1" applyBorder="1" applyAlignment="1" applyProtection="1">
      <alignment horizontal="right"/>
    </xf>
    <xf numFmtId="166" fontId="0" fillId="0" borderId="9" xfId="0" applyNumberFormat="1" applyFill="1" applyBorder="1" applyProtection="1"/>
    <xf numFmtId="164" fontId="1" fillId="0" borderId="10" xfId="0" applyNumberFormat="1" applyFont="1" applyFill="1" applyBorder="1" applyProtection="1"/>
    <xf numFmtId="164" fontId="0" fillId="0" borderId="10" xfId="0" applyNumberFormat="1" applyFill="1" applyBorder="1" applyProtection="1"/>
    <xf numFmtId="165" fontId="11" fillId="0" borderId="10" xfId="0" applyNumberFormat="1" applyFont="1" applyBorder="1" applyProtection="1">
      <protection locked="0"/>
    </xf>
    <xf numFmtId="166" fontId="3" fillId="0" borderId="6" xfId="0" applyNumberFormat="1" applyFont="1" applyBorder="1" applyProtection="1"/>
    <xf numFmtId="168" fontId="0" fillId="0" borderId="7" xfId="0" applyNumberFormat="1" applyBorder="1" applyProtection="1"/>
    <xf numFmtId="168" fontId="0" fillId="0" borderId="7" xfId="0" applyNumberFormat="1" applyFill="1" applyBorder="1" applyProtection="1"/>
    <xf numFmtId="0" fontId="0" fillId="0" borderId="0" xfId="0" applyAlignment="1" applyProtection="1">
      <alignment horizontal="centerContinuous"/>
      <protection locked="0"/>
    </xf>
    <xf numFmtId="168" fontId="0" fillId="0" borderId="0" xfId="0" applyNumberFormat="1" applyBorder="1" applyProtection="1">
      <protection locked="0"/>
    </xf>
    <xf numFmtId="0" fontId="3" fillId="0" borderId="10" xfId="0" applyFont="1" applyBorder="1" applyAlignment="1" applyProtection="1">
      <alignment horizontal="left" indent="1"/>
    </xf>
    <xf numFmtId="0" fontId="0" fillId="0" borderId="18" xfId="0" applyBorder="1" applyAlignment="1" applyProtection="1">
      <alignment horizontal="left" indent="1"/>
    </xf>
    <xf numFmtId="0" fontId="14" fillId="0" borderId="0" xfId="0" applyFont="1" applyBorder="1" applyAlignment="1" applyProtection="1">
      <alignment horizontal="centerContinuous"/>
    </xf>
    <xf numFmtId="166" fontId="0" fillId="0" borderId="21" xfId="0" applyNumberFormat="1" applyBorder="1" applyProtection="1"/>
    <xf numFmtId="0" fontId="4" fillId="0" borderId="19" xfId="0" applyFont="1" applyBorder="1" applyProtection="1">
      <protection locked="0"/>
    </xf>
    <xf numFmtId="168" fontId="0" fillId="0" borderId="19" xfId="0" applyNumberFormat="1" applyBorder="1" applyProtection="1"/>
    <xf numFmtId="164" fontId="0" fillId="0" borderId="19" xfId="0" applyNumberFormat="1" applyBorder="1" applyProtection="1"/>
    <xf numFmtId="164" fontId="0" fillId="0" borderId="22" xfId="0" applyNumberFormat="1" applyBorder="1" applyAlignment="1" applyProtection="1">
      <alignment horizontal="right"/>
    </xf>
    <xf numFmtId="166" fontId="0" fillId="0" borderId="24" xfId="0" applyNumberFormat="1" applyBorder="1" applyProtection="1"/>
    <xf numFmtId="168" fontId="0" fillId="0" borderId="25" xfId="0" applyNumberFormat="1" applyBorder="1" applyProtection="1"/>
    <xf numFmtId="164" fontId="0" fillId="0" borderId="25" xfId="0" applyNumberFormat="1" applyBorder="1" applyProtection="1"/>
    <xf numFmtId="164" fontId="0" fillId="0" borderId="26" xfId="0" applyNumberFormat="1" applyBorder="1" applyAlignment="1" applyProtection="1">
      <alignment horizontal="right"/>
    </xf>
    <xf numFmtId="166" fontId="3" fillId="0" borderId="21" xfId="0" applyNumberFormat="1" applyFont="1" applyFill="1" applyBorder="1" applyProtection="1"/>
    <xf numFmtId="168" fontId="0" fillId="0" borderId="19" xfId="0" applyNumberFormat="1" applyFill="1" applyBorder="1" applyProtection="1"/>
    <xf numFmtId="164" fontId="0" fillId="0" borderId="22" xfId="0" applyNumberFormat="1" applyFill="1" applyBorder="1" applyAlignment="1" applyProtection="1">
      <alignment horizontal="right"/>
    </xf>
    <xf numFmtId="166" fontId="0" fillId="0" borderId="0" xfId="0" applyNumberFormat="1" applyBorder="1" applyProtection="1">
      <protection locked="0"/>
    </xf>
    <xf numFmtId="164" fontId="0" fillId="0" borderId="0" xfId="0" applyNumberFormat="1" applyFill="1" applyBorder="1" applyAlignment="1" applyProtection="1">
      <alignment horizontal="right"/>
    </xf>
    <xf numFmtId="169" fontId="0" fillId="0" borderId="31" xfId="0" applyNumberFormat="1" applyBorder="1" applyAlignment="1" applyProtection="1">
      <alignment horizontal="right"/>
    </xf>
    <xf numFmtId="164" fontId="0" fillId="0" borderId="35" xfId="0" applyNumberFormat="1" applyBorder="1" applyAlignment="1" applyProtection="1">
      <alignment horizontal="right"/>
    </xf>
    <xf numFmtId="164" fontId="0" fillId="0" borderId="36" xfId="0" applyNumberFormat="1" applyFill="1" applyBorder="1" applyAlignment="1" applyProtection="1">
      <alignment horizontal="right"/>
    </xf>
    <xf numFmtId="164" fontId="0" fillId="0" borderId="34" xfId="0" applyNumberFormat="1" applyFill="1" applyBorder="1" applyAlignment="1" applyProtection="1">
      <alignment horizontal="right"/>
    </xf>
    <xf numFmtId="164" fontId="0" fillId="0" borderId="28" xfId="0" applyNumberFormat="1" applyFill="1" applyBorder="1" applyAlignment="1" applyProtection="1">
      <alignment horizontal="right"/>
    </xf>
    <xf numFmtId="164" fontId="0" fillId="0" borderId="14" xfId="0" applyNumberFormat="1" applyBorder="1" applyAlignment="1" applyProtection="1">
      <alignment horizontal="right"/>
    </xf>
    <xf numFmtId="0" fontId="0" fillId="0" borderId="35" xfId="0" applyFill="1" applyBorder="1" applyProtection="1"/>
    <xf numFmtId="164" fontId="0" fillId="0" borderId="35" xfId="0" applyNumberFormat="1" applyBorder="1" applyProtection="1"/>
    <xf numFmtId="164" fontId="0" fillId="0" borderId="34" xfId="0" applyNumberFormat="1" applyBorder="1" applyProtection="1"/>
    <xf numFmtId="164" fontId="0" fillId="0" borderId="38" xfId="0" applyNumberFormat="1" applyBorder="1" applyProtection="1"/>
    <xf numFmtId="164" fontId="0" fillId="0" borderId="36" xfId="0" applyNumberFormat="1" applyFill="1" applyBorder="1" applyProtection="1"/>
    <xf numFmtId="164" fontId="0" fillId="0" borderId="35" xfId="0" applyNumberFormat="1" applyFill="1" applyBorder="1" applyProtection="1"/>
    <xf numFmtId="168" fontId="0" fillId="0" borderId="37" xfId="0" applyNumberFormat="1" applyFill="1" applyBorder="1" applyProtection="1"/>
    <xf numFmtId="164" fontId="3" fillId="0" borderId="11" xfId="0" applyNumberFormat="1" applyFont="1" applyFill="1" applyBorder="1" applyAlignment="1" applyProtection="1">
      <alignment horizontal="right"/>
    </xf>
    <xf numFmtId="164" fontId="3" fillId="0" borderId="14" xfId="0" applyNumberFormat="1" applyFont="1" applyFill="1" applyBorder="1" applyAlignment="1" applyProtection="1">
      <alignment horizontal="right"/>
    </xf>
    <xf numFmtId="2" fontId="0" fillId="0" borderId="35" xfId="0" applyNumberFormat="1" applyBorder="1" applyProtection="1"/>
    <xf numFmtId="0" fontId="1" fillId="2" borderId="18" xfId="0" applyFont="1" applyFill="1" applyBorder="1" applyAlignment="1" applyProtection="1">
      <alignment vertical="center"/>
    </xf>
    <xf numFmtId="0" fontId="16" fillId="0" borderId="0" xfId="0" applyFont="1" applyBorder="1" applyAlignment="1" applyProtection="1">
      <alignment horizontal="left"/>
    </xf>
    <xf numFmtId="0" fontId="17" fillId="0" borderId="0" xfId="0" applyFont="1" applyAlignment="1" applyProtection="1">
      <alignment horizontal="centerContinuous"/>
      <protection locked="0"/>
    </xf>
    <xf numFmtId="0" fontId="17" fillId="0" borderId="0" xfId="0" applyFont="1" applyAlignment="1" applyProtection="1">
      <alignment horizontal="centerContinuous"/>
    </xf>
    <xf numFmtId="0" fontId="1" fillId="0" borderId="45" xfId="0" applyFont="1" applyBorder="1" applyProtection="1"/>
    <xf numFmtId="0" fontId="0" fillId="0" borderId="46" xfId="0" quotePrefix="1" applyBorder="1" applyAlignment="1" applyProtection="1">
      <alignment horizontal="left" indent="1"/>
    </xf>
    <xf numFmtId="0" fontId="3" fillId="0" borderId="46" xfId="0" quotePrefix="1" applyFont="1" applyBorder="1" applyAlignment="1" applyProtection="1">
      <alignment horizontal="left" indent="1"/>
    </xf>
    <xf numFmtId="0" fontId="1" fillId="0" borderId="47" xfId="0" applyFont="1" applyBorder="1" applyProtection="1"/>
    <xf numFmtId="0" fontId="1" fillId="0" borderId="46" xfId="0" applyFont="1" applyBorder="1" applyProtection="1"/>
    <xf numFmtId="0" fontId="3" fillId="0" borderId="46" xfId="0" applyFont="1" applyBorder="1" applyAlignment="1" applyProtection="1">
      <alignment horizontal="left" indent="1"/>
    </xf>
    <xf numFmtId="0" fontId="3" fillId="0" borderId="39" xfId="0" applyFont="1" applyBorder="1" applyAlignment="1" applyProtection="1">
      <alignment horizontal="left" indent="1"/>
    </xf>
    <xf numFmtId="0" fontId="3" fillId="0" borderId="40" xfId="0" applyFont="1" applyBorder="1" applyAlignment="1" applyProtection="1">
      <alignment horizontal="left" indent="1"/>
    </xf>
    <xf numFmtId="0" fontId="3" fillId="0" borderId="40" xfId="0" quotePrefix="1" applyFont="1" applyBorder="1" applyAlignment="1" applyProtection="1">
      <alignment horizontal="left" indent="1"/>
    </xf>
    <xf numFmtId="0" fontId="3" fillId="0" borderId="46" xfId="0" quotePrefix="1" applyFont="1" applyFill="1" applyBorder="1" applyAlignment="1" applyProtection="1">
      <alignment horizontal="left" indent="1"/>
    </xf>
    <xf numFmtId="0" fontId="3" fillId="0" borderId="47" xfId="0" applyFont="1" applyBorder="1" applyAlignment="1" applyProtection="1">
      <alignment horizontal="left" indent="1"/>
    </xf>
    <xf numFmtId="0" fontId="1" fillId="0" borderId="1" xfId="0" applyFont="1" applyBorder="1" applyProtection="1"/>
    <xf numFmtId="11" fontId="0" fillId="0" borderId="37" xfId="0" applyNumberFormat="1" applyBorder="1" applyAlignment="1" applyProtection="1">
      <alignment horizontal="right"/>
    </xf>
    <xf numFmtId="1" fontId="3" fillId="0" borderId="35" xfId="0" applyNumberFormat="1" applyFont="1" applyBorder="1" applyProtection="1"/>
    <xf numFmtId="1" fontId="3" fillId="0" borderId="10" xfId="0" applyNumberFormat="1" applyFont="1" applyBorder="1" applyProtection="1"/>
    <xf numFmtId="1" fontId="3" fillId="0" borderId="19" xfId="0" applyNumberFormat="1" applyFont="1" applyBorder="1" applyProtection="1"/>
    <xf numFmtId="0" fontId="1" fillId="2" borderId="1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Continuous"/>
      <protection locked="0"/>
    </xf>
    <xf numFmtId="0" fontId="6" fillId="0" borderId="0" xfId="0" applyFont="1" applyBorder="1" applyAlignment="1" applyProtection="1"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right"/>
      <protection locked="0"/>
    </xf>
    <xf numFmtId="14" fontId="11" fillId="0" borderId="0" xfId="0" applyNumberFormat="1" applyFont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11" fillId="0" borderId="46" xfId="0" applyFont="1" applyBorder="1" applyAlignment="1" applyProtection="1">
      <alignment horizontal="left" indent="1"/>
      <protection locked="0"/>
    </xf>
    <xf numFmtId="166" fontId="11" fillId="0" borderId="9" xfId="0" applyNumberFormat="1" applyFont="1" applyFill="1" applyBorder="1" applyProtection="1">
      <protection locked="0"/>
    </xf>
    <xf numFmtId="1" fontId="11" fillId="0" borderId="10" xfId="0" applyNumberFormat="1" applyFont="1" applyBorder="1" applyProtection="1">
      <protection locked="0"/>
    </xf>
    <xf numFmtId="1" fontId="11" fillId="0" borderId="35" xfId="0" applyNumberFormat="1" applyFont="1" applyFill="1" applyBorder="1" applyProtection="1">
      <protection locked="0"/>
    </xf>
    <xf numFmtId="165" fontId="0" fillId="0" borderId="13" xfId="0" quotePrefix="1" applyNumberFormat="1" applyBorder="1" applyProtection="1"/>
    <xf numFmtId="1" fontId="3" fillId="0" borderId="25" xfId="0" applyNumberFormat="1" applyFont="1" applyBorder="1" applyProtection="1"/>
    <xf numFmtId="0" fontId="3" fillId="0" borderId="13" xfId="0" applyFont="1" applyBorder="1" applyProtection="1"/>
    <xf numFmtId="0" fontId="3" fillId="0" borderId="19" xfId="0" applyFont="1" applyBorder="1" applyProtection="1"/>
    <xf numFmtId="166" fontId="0" fillId="0" borderId="10" xfId="0" applyNumberFormat="1" applyFill="1" applyBorder="1" applyProtection="1"/>
    <xf numFmtId="0" fontId="1" fillId="0" borderId="27" xfId="0" applyFont="1" applyBorder="1" applyProtection="1"/>
    <xf numFmtId="0" fontId="0" fillId="0" borderId="3" xfId="0" applyBorder="1" applyProtection="1"/>
    <xf numFmtId="0" fontId="0" fillId="0" borderId="4" xfId="0" applyBorder="1" applyProtection="1"/>
    <xf numFmtId="165" fontId="0" fillId="0" borderId="13" xfId="0" applyNumberFormat="1" applyBorder="1" applyProtection="1"/>
    <xf numFmtId="0" fontId="1" fillId="0" borderId="29" xfId="0" applyFont="1" applyBorder="1" applyProtection="1"/>
    <xf numFmtId="165" fontId="0" fillId="0" borderId="7" xfId="0" applyNumberFormat="1" applyBorder="1" applyProtection="1"/>
    <xf numFmtId="0" fontId="0" fillId="0" borderId="5" xfId="0" applyBorder="1" applyProtection="1"/>
    <xf numFmtId="168" fontId="0" fillId="0" borderId="0" xfId="0" applyNumberFormat="1" applyProtection="1"/>
    <xf numFmtId="164" fontId="0" fillId="0" borderId="0" xfId="0" applyNumberFormat="1" applyProtection="1"/>
    <xf numFmtId="164" fontId="0" fillId="0" borderId="0" xfId="0" applyNumberFormat="1" applyAlignment="1" applyProtection="1">
      <alignment horizontal="right"/>
    </xf>
    <xf numFmtId="0" fontId="15" fillId="0" borderId="0" xfId="0" applyFont="1" applyProtection="1"/>
    <xf numFmtId="167" fontId="0" fillId="0" borderId="0" xfId="0" applyNumberFormat="1" applyProtection="1"/>
    <xf numFmtId="0" fontId="1" fillId="2" borderId="18" xfId="0" applyFont="1" applyFill="1" applyBorder="1" applyAlignment="1" applyProtection="1">
      <alignment horizontal="center" vertical="center" wrapText="1"/>
    </xf>
    <xf numFmtId="167" fontId="0" fillId="0" borderId="10" xfId="0" applyNumberFormat="1" applyBorder="1" applyProtection="1"/>
    <xf numFmtId="167" fontId="0" fillId="0" borderId="18" xfId="0" applyNumberFormat="1" applyBorder="1" applyProtection="1"/>
    <xf numFmtId="0" fontId="3" fillId="0" borderId="0" xfId="0" applyFont="1" applyProtection="1"/>
    <xf numFmtId="0" fontId="1" fillId="0" borderId="0" xfId="0" applyFont="1" applyProtection="1"/>
    <xf numFmtId="165" fontId="0" fillId="0" borderId="0" xfId="0" applyNumberFormat="1" applyProtection="1"/>
    <xf numFmtId="0" fontId="3" fillId="0" borderId="0" xfId="0" applyFont="1" applyFill="1" applyProtection="1"/>
    <xf numFmtId="2" fontId="0" fillId="0" borderId="0" xfId="0" applyNumberFormat="1" applyFill="1" applyProtection="1"/>
    <xf numFmtId="0" fontId="0" fillId="0" borderId="0" xfId="0" applyFill="1" applyProtection="1"/>
    <xf numFmtId="168" fontId="5" fillId="0" borderId="10" xfId="0" applyNumberFormat="1" applyFont="1" applyFill="1" applyBorder="1" applyProtection="1">
      <protection locked="0"/>
    </xf>
    <xf numFmtId="0" fontId="11" fillId="0" borderId="29" xfId="0" applyFont="1" applyBorder="1" applyProtection="1">
      <protection locked="0"/>
    </xf>
    <xf numFmtId="0" fontId="11" fillId="0" borderId="30" xfId="0" applyFont="1" applyBorder="1" applyProtection="1">
      <protection locked="0"/>
    </xf>
    <xf numFmtId="164" fontId="11" fillId="0" borderId="30" xfId="0" applyNumberFormat="1" applyFont="1" applyFill="1" applyBorder="1" applyAlignment="1" applyProtection="1">
      <alignment horizontal="left"/>
      <protection locked="0"/>
    </xf>
    <xf numFmtId="164" fontId="11" fillId="0" borderId="31" xfId="0" applyNumberFormat="1" applyFont="1" applyFill="1" applyBorder="1" applyAlignment="1" applyProtection="1">
      <alignment horizontal="left"/>
      <protection locked="0"/>
    </xf>
    <xf numFmtId="164" fontId="11" fillId="0" borderId="5" xfId="0" applyNumberFormat="1" applyFont="1" applyFill="1" applyBorder="1" applyAlignment="1" applyProtection="1">
      <alignment horizontal="left"/>
      <protection locked="0"/>
    </xf>
    <xf numFmtId="164" fontId="11" fillId="0" borderId="29" xfId="0" applyNumberFormat="1" applyFont="1" applyFill="1" applyBorder="1" applyAlignment="1" applyProtection="1">
      <alignment horizontal="left"/>
      <protection locked="0"/>
    </xf>
    <xf numFmtId="164" fontId="11" fillId="0" borderId="0" xfId="0" applyNumberFormat="1" applyFont="1" applyFill="1" applyBorder="1" applyAlignment="1" applyProtection="1">
      <alignment horizontal="left"/>
      <protection locked="0"/>
    </xf>
    <xf numFmtId="164" fontId="11" fillId="0" borderId="4" xfId="0" applyNumberFormat="1" applyFont="1" applyFill="1" applyBorder="1" applyAlignment="1" applyProtection="1">
      <alignment horizontal="left"/>
      <protection locked="0"/>
    </xf>
    <xf numFmtId="164" fontId="0" fillId="0" borderId="29" xfId="0" applyNumberFormat="1" applyFill="1" applyBorder="1" applyAlignment="1" applyProtection="1">
      <alignment horizontal="left"/>
      <protection locked="0"/>
    </xf>
    <xf numFmtId="164" fontId="0" fillId="0" borderId="0" xfId="0" applyNumberFormat="1" applyFill="1" applyBorder="1" applyAlignment="1" applyProtection="1">
      <alignment horizontal="left"/>
      <protection locked="0"/>
    </xf>
    <xf numFmtId="164" fontId="0" fillId="0" borderId="4" xfId="0" applyNumberFormat="1" applyFill="1" applyBorder="1" applyAlignment="1" applyProtection="1">
      <alignment horizontal="left"/>
      <protection locked="0"/>
    </xf>
    <xf numFmtId="164" fontId="0" fillId="0" borderId="41" xfId="0" applyNumberFormat="1" applyFill="1" applyBorder="1" applyAlignment="1" applyProtection="1">
      <alignment horizontal="left"/>
      <protection locked="0"/>
    </xf>
    <xf numFmtId="164" fontId="0" fillId="0" borderId="42" xfId="0" applyNumberFormat="1" applyFill="1" applyBorder="1" applyAlignment="1" applyProtection="1">
      <alignment horizontal="left"/>
      <protection locked="0"/>
    </xf>
    <xf numFmtId="164" fontId="0" fillId="0" borderId="20" xfId="0" applyNumberFormat="1" applyFill="1" applyBorder="1" applyAlignment="1" applyProtection="1">
      <alignment horizontal="left"/>
      <protection locked="0"/>
    </xf>
    <xf numFmtId="164" fontId="0" fillId="0" borderId="43" xfId="0" applyNumberFormat="1" applyFill="1" applyBorder="1" applyAlignment="1" applyProtection="1">
      <alignment horizontal="left"/>
      <protection locked="0"/>
    </xf>
    <xf numFmtId="164" fontId="0" fillId="0" borderId="44" xfId="0" applyNumberFormat="1" applyFill="1" applyBorder="1" applyAlignment="1" applyProtection="1">
      <alignment horizontal="left"/>
      <protection locked="0"/>
    </xf>
    <xf numFmtId="164" fontId="0" fillId="0" borderId="23" xfId="0" applyNumberFormat="1" applyFill="1" applyBorder="1" applyAlignment="1" applyProtection="1">
      <alignment horizontal="left"/>
      <protection locked="0"/>
    </xf>
    <xf numFmtId="164" fontId="0" fillId="0" borderId="27" xfId="0" applyNumberFormat="1" applyFill="1" applyBorder="1" applyAlignment="1" applyProtection="1">
      <alignment horizontal="left"/>
      <protection locked="0"/>
    </xf>
    <xf numFmtId="164" fontId="0" fillId="0" borderId="28" xfId="0" applyNumberFormat="1" applyFill="1" applyBorder="1" applyAlignment="1" applyProtection="1">
      <alignment horizontal="left"/>
      <protection locked="0"/>
    </xf>
    <xf numFmtId="164" fontId="0" fillId="0" borderId="3" xfId="0" applyNumberFormat="1" applyFill="1" applyBorder="1" applyAlignment="1" applyProtection="1">
      <alignment horizontal="left"/>
      <protection locked="0"/>
    </xf>
    <xf numFmtId="164" fontId="0" fillId="0" borderId="29" xfId="0" applyNumberFormat="1" applyBorder="1" applyAlignment="1" applyProtection="1">
      <alignment horizontal="left"/>
      <protection locked="0"/>
    </xf>
    <xf numFmtId="164" fontId="0" fillId="0" borderId="0" xfId="0" applyNumberFormat="1" applyBorder="1" applyAlignment="1" applyProtection="1">
      <alignment horizontal="left"/>
      <protection locked="0"/>
    </xf>
    <xf numFmtId="164" fontId="0" fillId="0" borderId="4" xfId="0" applyNumberFormat="1" applyBorder="1" applyAlignment="1" applyProtection="1">
      <alignment horizontal="left"/>
      <protection locked="0"/>
    </xf>
    <xf numFmtId="164" fontId="0" fillId="0" borderId="41" xfId="0" applyNumberFormat="1" applyBorder="1" applyAlignment="1" applyProtection="1">
      <alignment horizontal="left"/>
      <protection locked="0"/>
    </xf>
    <xf numFmtId="164" fontId="0" fillId="0" borderId="42" xfId="0" applyNumberFormat="1" applyBorder="1" applyAlignment="1" applyProtection="1">
      <alignment horizontal="left"/>
      <protection locked="0"/>
    </xf>
    <xf numFmtId="164" fontId="0" fillId="0" borderId="20" xfId="0" applyNumberFormat="1" applyBorder="1" applyAlignment="1" applyProtection="1">
      <alignment horizontal="left"/>
      <protection locked="0"/>
    </xf>
    <xf numFmtId="164" fontId="3" fillId="0" borderId="30" xfId="0" applyNumberFormat="1" applyFont="1" applyBorder="1" applyAlignment="1" applyProtection="1">
      <alignment horizontal="left"/>
      <protection locked="0"/>
    </xf>
    <xf numFmtId="164" fontId="3" fillId="0" borderId="31" xfId="0" applyNumberFormat="1" applyFont="1" applyBorder="1" applyAlignment="1" applyProtection="1">
      <alignment horizontal="left"/>
      <protection locked="0"/>
    </xf>
    <xf numFmtId="164" fontId="3" fillId="0" borderId="5" xfId="0" applyNumberFormat="1" applyFont="1" applyBorder="1" applyAlignment="1" applyProtection="1">
      <alignment horizontal="left"/>
      <protection locked="0"/>
    </xf>
    <xf numFmtId="164" fontId="3" fillId="0" borderId="29" xfId="0" applyNumberFormat="1" applyFont="1" applyBorder="1" applyAlignment="1" applyProtection="1">
      <alignment horizontal="left"/>
      <protection locked="0"/>
    </xf>
    <xf numFmtId="164" fontId="3" fillId="0" borderId="0" xfId="0" applyNumberFormat="1" applyFont="1" applyBorder="1" applyAlignment="1" applyProtection="1">
      <alignment horizontal="left"/>
      <protection locked="0"/>
    </xf>
    <xf numFmtId="164" fontId="3" fillId="0" borderId="4" xfId="0" applyNumberFormat="1" applyFont="1" applyBorder="1" applyAlignment="1" applyProtection="1">
      <alignment horizontal="left"/>
      <protection locked="0"/>
    </xf>
    <xf numFmtId="164" fontId="0" fillId="0" borderId="27" xfId="0" applyNumberFormat="1" applyBorder="1" applyAlignment="1" applyProtection="1">
      <alignment horizontal="left"/>
      <protection locked="0"/>
    </xf>
    <xf numFmtId="164" fontId="0" fillId="0" borderId="28" xfId="0" applyNumberFormat="1" applyBorder="1" applyAlignment="1" applyProtection="1">
      <alignment horizontal="left"/>
      <protection locked="0"/>
    </xf>
    <xf numFmtId="164" fontId="0" fillId="0" borderId="3" xfId="0" applyNumberFormat="1" applyBorder="1" applyAlignment="1" applyProtection="1">
      <alignment horizontal="left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/>
      <protection locked="0"/>
    </xf>
    <xf numFmtId="164" fontId="0" fillId="0" borderId="30" xfId="0" applyNumberFormat="1" applyFill="1" applyBorder="1" applyAlignment="1" applyProtection="1">
      <alignment horizontal="left"/>
      <protection locked="0"/>
    </xf>
    <xf numFmtId="164" fontId="0" fillId="0" borderId="31" xfId="0" applyNumberFormat="1" applyFill="1" applyBorder="1" applyAlignment="1" applyProtection="1">
      <alignment horizontal="left"/>
      <protection locked="0"/>
    </xf>
    <xf numFmtId="164" fontId="0" fillId="0" borderId="5" xfId="0" applyNumberFormat="1" applyFill="1" applyBorder="1" applyAlignment="1" applyProtection="1">
      <alignment horizontal="left"/>
      <protection locked="0"/>
    </xf>
    <xf numFmtId="0" fontId="20" fillId="0" borderId="0" xfId="1" applyFont="1" applyAlignment="1" applyProtection="1">
      <protection locked="0"/>
    </xf>
    <xf numFmtId="0" fontId="18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right"/>
      <protection locked="0"/>
    </xf>
  </cellXfs>
  <cellStyles count="2">
    <cellStyle name="Hyperlink" xfId="1" builtinId="8"/>
    <cellStyle name="Normal" xfId="0" builtinId="0"/>
  </cellStyles>
  <dxfs count="2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295275</xdr:colOff>
          <xdr:row>52</xdr:row>
          <xdr:rowOff>0</xdr:rowOff>
        </xdr:from>
        <xdr:to>
          <xdr:col>4</xdr:col>
          <xdr:colOff>419100</xdr:colOff>
          <xdr:row>53</xdr:row>
          <xdr:rowOff>152400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Solve</a:t>
              </a:r>
            </a:p>
          </xdr:txBody>
        </xdr:sp>
        <xdr:clientData fPrintsWithSheet="0"/>
      </xdr:twoCellAnchor>
    </mc:Choice>
    <mc:Fallback/>
  </mc:AlternateContent>
  <xdr:twoCellAnchor>
    <xdr:from>
      <xdr:col>2</xdr:col>
      <xdr:colOff>647702</xdr:colOff>
      <xdr:row>59</xdr:row>
      <xdr:rowOff>85725</xdr:rowOff>
    </xdr:from>
    <xdr:to>
      <xdr:col>3</xdr:col>
      <xdr:colOff>723900</xdr:colOff>
      <xdr:row>59</xdr:row>
      <xdr:rowOff>95250</xdr:rowOff>
    </xdr:to>
    <xdr:cxnSp macro="">
      <xdr:nvCxnSpPr>
        <xdr:cNvPr id="3" name="Straight Arrow Connector 2"/>
        <xdr:cNvCxnSpPr/>
      </xdr:nvCxnSpPr>
      <xdr:spPr>
        <a:xfrm flipH="1">
          <a:off x="3752852" y="11058525"/>
          <a:ext cx="742948" cy="9525"/>
        </a:xfrm>
        <a:prstGeom prst="straightConnector1">
          <a:avLst/>
        </a:prstGeom>
        <a:ln w="12700">
          <a:solidFill>
            <a:schemeClr val="tx1"/>
          </a:solidFill>
          <a:tailEnd type="stealth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</xdr:colOff>
      <xdr:row>58</xdr:row>
      <xdr:rowOff>104775</xdr:rowOff>
    </xdr:from>
    <xdr:to>
      <xdr:col>3</xdr:col>
      <xdr:colOff>723900</xdr:colOff>
      <xdr:row>59</xdr:row>
      <xdr:rowOff>76200</xdr:rowOff>
    </xdr:to>
    <xdr:cxnSp macro="">
      <xdr:nvCxnSpPr>
        <xdr:cNvPr id="8" name="Straight Arrow Connector 7"/>
        <xdr:cNvCxnSpPr/>
      </xdr:nvCxnSpPr>
      <xdr:spPr>
        <a:xfrm flipH="1" flipV="1">
          <a:off x="3771901" y="10915650"/>
          <a:ext cx="723899" cy="133350"/>
        </a:xfrm>
        <a:prstGeom prst="straightConnector1">
          <a:avLst/>
        </a:prstGeom>
        <a:ln w="12700">
          <a:solidFill>
            <a:schemeClr val="tx1"/>
          </a:solidFill>
          <a:tailEnd type="stealth" w="med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114300</xdr:colOff>
      <xdr:row>0</xdr:row>
      <xdr:rowOff>0</xdr:rowOff>
    </xdr:from>
    <xdr:to>
      <xdr:col>0</xdr:col>
      <xdr:colOff>662940</xdr:colOff>
      <xdr:row>2</xdr:row>
      <xdr:rowOff>24765</xdr:rowOff>
    </xdr:to>
    <xdr:pic>
      <xdr:nvPicPr>
        <xdr:cNvPr id="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54864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gtrt.com/contactor.cfm" TargetMode="External"/><Relationship Id="rId6" Type="http://schemas.openxmlformats.org/officeDocument/2006/relationships/comments" Target="../comments1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S69"/>
  <sheetViews>
    <sheetView tabSelected="1" zoomScaleNormal="100" workbookViewId="0">
      <pane xSplit="1" ySplit="11" topLeftCell="B12" activePane="bottomRight" state="frozen"/>
      <selection pane="topRight" activeCell="B1" sqref="B1"/>
      <selection pane="bottomLeft" activeCell="A5" sqref="A5"/>
      <selection pane="bottomRight" activeCell="D8" sqref="D8"/>
    </sheetView>
  </sheetViews>
  <sheetFormatPr defaultRowHeight="12.75" x14ac:dyDescent="0.2"/>
  <cols>
    <col min="1" max="1" width="36" style="1" customWidth="1"/>
    <col min="2" max="2" width="10" style="1" customWidth="1"/>
    <col min="3" max="3" width="8.7109375" style="1" customWidth="1"/>
    <col min="4" max="5" width="9.7109375" style="1" customWidth="1"/>
    <col min="6" max="6" width="7.5703125" style="1" bestFit="1" customWidth="1"/>
    <col min="7" max="7" width="9.7109375" style="1" customWidth="1"/>
    <col min="8" max="10" width="11.5703125" style="1" customWidth="1"/>
    <col min="11" max="11" width="12" style="1" customWidth="1"/>
    <col min="12" max="16384" width="9.140625" style="1"/>
  </cols>
  <sheetData>
    <row r="1" spans="1:45" ht="23.25" x14ac:dyDescent="0.35">
      <c r="A1" s="55" t="s">
        <v>56</v>
      </c>
      <c r="B1" s="51"/>
      <c r="C1" s="111"/>
      <c r="D1" s="111"/>
      <c r="E1" s="111"/>
      <c r="F1" s="111"/>
      <c r="G1" s="111"/>
      <c r="H1" s="111"/>
      <c r="I1" s="111"/>
      <c r="J1" s="111"/>
      <c r="K1" s="111"/>
      <c r="L1" s="112"/>
      <c r="M1" s="112"/>
      <c r="AN1" s="1">
        <v>1</v>
      </c>
      <c r="AO1" s="1" t="s">
        <v>6</v>
      </c>
      <c r="AP1" s="1">
        <v>61.082999999999998</v>
      </c>
      <c r="AQ1" s="1">
        <v>105.092</v>
      </c>
      <c r="AS1" s="8" t="s">
        <v>49</v>
      </c>
    </row>
    <row r="2" spans="1:45" ht="18" x14ac:dyDescent="0.25">
      <c r="A2" s="89" t="s">
        <v>84</v>
      </c>
      <c r="B2" s="88"/>
      <c r="C2" s="88"/>
      <c r="D2" s="88"/>
      <c r="E2" s="88"/>
      <c r="F2" s="88"/>
      <c r="G2" s="88"/>
      <c r="H2" s="88"/>
      <c r="I2" s="88"/>
      <c r="J2" s="88"/>
      <c r="K2" s="88"/>
      <c r="AN2" s="1">
        <v>2</v>
      </c>
      <c r="AO2" s="1" t="s">
        <v>7</v>
      </c>
      <c r="AP2" s="1">
        <v>105.136</v>
      </c>
      <c r="AQ2" s="1">
        <v>149.14500000000001</v>
      </c>
      <c r="AS2" s="8" t="s">
        <v>51</v>
      </c>
    </row>
    <row r="3" spans="1:45" ht="19.5" x14ac:dyDescent="0.35">
      <c r="A3" s="87" t="s">
        <v>89</v>
      </c>
      <c r="B3" s="113"/>
      <c r="C3" s="113"/>
      <c r="D3" s="113"/>
      <c r="E3" s="113"/>
      <c r="F3" s="113"/>
      <c r="G3" s="113"/>
      <c r="H3" s="113"/>
      <c r="I3" s="113"/>
      <c r="J3" s="113"/>
      <c r="K3" s="51"/>
      <c r="AN3" s="3">
        <v>3</v>
      </c>
      <c r="AO3" s="3" t="s">
        <v>8</v>
      </c>
      <c r="AP3" s="3">
        <v>119.16</v>
      </c>
      <c r="AQ3" s="3">
        <v>0</v>
      </c>
    </row>
    <row r="4" spans="1:45" x14ac:dyDescent="0.2">
      <c r="A4" s="202" t="s">
        <v>98</v>
      </c>
      <c r="B4" s="202"/>
      <c r="C4" s="202"/>
      <c r="D4" s="199" t="s">
        <v>96</v>
      </c>
      <c r="E4" s="199"/>
      <c r="F4" s="199"/>
      <c r="H4" s="200" t="s">
        <v>97</v>
      </c>
      <c r="I4" s="200"/>
      <c r="J4" s="200"/>
      <c r="AN4" s="2">
        <v>4</v>
      </c>
      <c r="AO4" s="2" t="s">
        <v>9</v>
      </c>
      <c r="AP4" s="3">
        <v>105.136</v>
      </c>
      <c r="AQ4" s="3">
        <v>149.14500000000001</v>
      </c>
    </row>
    <row r="5" spans="1:45" x14ac:dyDescent="0.2">
      <c r="A5" s="201"/>
      <c r="B5" s="201"/>
      <c r="C5" s="201"/>
      <c r="D5" s="199"/>
      <c r="E5" s="199"/>
      <c r="F5" s="199"/>
      <c r="H5" s="200"/>
      <c r="I5" s="200"/>
      <c r="J5" s="200"/>
      <c r="AN5" s="2"/>
      <c r="AO5" s="2"/>
      <c r="AP5" s="3"/>
      <c r="AQ5" s="3"/>
    </row>
    <row r="6" spans="1:45" x14ac:dyDescent="0.2">
      <c r="A6" s="114" t="s">
        <v>75</v>
      </c>
      <c r="B6" s="115" t="s">
        <v>80</v>
      </c>
      <c r="C6" s="113"/>
      <c r="D6" s="113"/>
      <c r="E6" s="113"/>
      <c r="F6" s="113"/>
      <c r="H6" s="116"/>
      <c r="I6" s="116"/>
      <c r="J6" s="116" t="s">
        <v>78</v>
      </c>
      <c r="K6" s="117">
        <v>40435</v>
      </c>
      <c r="AN6" s="2">
        <v>5</v>
      </c>
      <c r="AO6" s="2" t="s">
        <v>11</v>
      </c>
      <c r="AP6" s="3">
        <v>133.19</v>
      </c>
      <c r="AQ6" s="3">
        <v>177.19900000000001</v>
      </c>
    </row>
    <row r="7" spans="1:45" x14ac:dyDescent="0.2">
      <c r="A7" s="114" t="s">
        <v>76</v>
      </c>
      <c r="B7" s="115" t="s">
        <v>81</v>
      </c>
      <c r="C7" s="113"/>
      <c r="D7" s="113"/>
      <c r="E7" s="113"/>
      <c r="F7" s="113"/>
      <c r="H7" s="116"/>
      <c r="I7" s="116"/>
      <c r="J7" s="116" t="s">
        <v>79</v>
      </c>
      <c r="K7" s="118" t="s">
        <v>82</v>
      </c>
      <c r="AN7" s="2">
        <v>6</v>
      </c>
      <c r="AO7" s="2" t="s">
        <v>10</v>
      </c>
      <c r="AP7" s="3">
        <v>86.137</v>
      </c>
      <c r="AQ7" s="3">
        <v>130.14599999999999</v>
      </c>
    </row>
    <row r="8" spans="1:45" x14ac:dyDescent="0.2">
      <c r="A8" s="114" t="s">
        <v>77</v>
      </c>
      <c r="B8" s="115" t="s">
        <v>95</v>
      </c>
      <c r="C8" s="113"/>
      <c r="D8" s="113"/>
      <c r="E8" s="113"/>
      <c r="F8" s="113"/>
      <c r="J8" s="8"/>
    </row>
    <row r="9" spans="1:45" x14ac:dyDescent="0.2">
      <c r="C9" s="113"/>
      <c r="D9" s="113"/>
      <c r="E9" s="113"/>
      <c r="F9" s="113"/>
      <c r="G9" s="113"/>
      <c r="H9" s="113"/>
      <c r="I9" s="113"/>
      <c r="J9" s="113"/>
      <c r="K9" s="51"/>
    </row>
    <row r="10" spans="1:45" ht="13.5" thickBot="1" x14ac:dyDescent="0.25">
      <c r="A10" s="119"/>
      <c r="B10" s="120"/>
      <c r="C10" s="120"/>
      <c r="D10" s="120"/>
      <c r="E10" s="120"/>
      <c r="F10" s="120"/>
      <c r="G10" s="120"/>
      <c r="H10" s="120"/>
      <c r="I10" s="120"/>
      <c r="J10" s="120"/>
    </row>
    <row r="11" spans="1:45" s="3" customFormat="1" ht="26.25" thickBot="1" x14ac:dyDescent="0.25">
      <c r="A11" s="106" t="s">
        <v>32</v>
      </c>
      <c r="B11" s="107" t="s">
        <v>63</v>
      </c>
      <c r="C11" s="108" t="s">
        <v>12</v>
      </c>
      <c r="D11" s="108" t="s">
        <v>34</v>
      </c>
      <c r="E11" s="108" t="s">
        <v>33</v>
      </c>
      <c r="F11" s="109" t="s">
        <v>83</v>
      </c>
      <c r="G11" s="110" t="s">
        <v>31</v>
      </c>
      <c r="H11" s="190" t="s">
        <v>14</v>
      </c>
      <c r="I11" s="191"/>
      <c r="J11" s="191"/>
      <c r="K11" s="192"/>
    </row>
    <row r="12" spans="1:45" s="3" customFormat="1" x14ac:dyDescent="0.2">
      <c r="A12" s="90" t="s">
        <v>0</v>
      </c>
      <c r="B12" s="17" t="s">
        <v>8</v>
      </c>
      <c r="C12" s="18" t="s">
        <v>1</v>
      </c>
      <c r="D12" s="19"/>
      <c r="E12" s="19"/>
      <c r="F12" s="76"/>
      <c r="G12" s="20"/>
      <c r="H12" s="187"/>
      <c r="I12" s="188"/>
      <c r="J12" s="188"/>
      <c r="K12" s="189"/>
    </row>
    <row r="13" spans="1:45" s="3" customFormat="1" x14ac:dyDescent="0.2">
      <c r="A13" s="91" t="s">
        <v>13</v>
      </c>
      <c r="B13" s="21">
        <f>VLOOKUP(MATCH(AmineTypeUsed,AmineTypes,0),AN1:AP7,3)</f>
        <v>119.16</v>
      </c>
      <c r="C13" s="22">
        <v>42.8</v>
      </c>
      <c r="D13" s="23">
        <f>C13/100</f>
        <v>0.42799999999999999</v>
      </c>
      <c r="E13" s="24">
        <f>D13/B13/$B$53</f>
        <v>0.10272197590691888</v>
      </c>
      <c r="F13" s="77"/>
      <c r="G13" s="25"/>
      <c r="H13" s="193" t="s">
        <v>93</v>
      </c>
      <c r="I13" s="194"/>
      <c r="J13" s="194"/>
      <c r="K13" s="195"/>
    </row>
    <row r="14" spans="1:45" s="3" customFormat="1" ht="14.25" x14ac:dyDescent="0.2">
      <c r="A14" s="92" t="s">
        <v>28</v>
      </c>
      <c r="B14" s="21">
        <f>B13+1.008</f>
        <v>120.16799999999999</v>
      </c>
      <c r="C14" s="26">
        <v>0.6</v>
      </c>
      <c r="D14" s="23">
        <f>C14/100</f>
        <v>6.0000000000000001E-3</v>
      </c>
      <c r="E14" s="24">
        <f>D14/B14/$B$53</f>
        <v>1.427948378003092E-3</v>
      </c>
      <c r="F14" s="103">
        <v>1</v>
      </c>
      <c r="G14" s="27">
        <f>E14*F14</f>
        <v>1.427948378003092E-3</v>
      </c>
      <c r="H14" s="181" t="s">
        <v>94</v>
      </c>
      <c r="I14" s="173"/>
      <c r="J14" s="173"/>
      <c r="K14" s="174"/>
    </row>
    <row r="15" spans="1:45" s="3" customFormat="1" ht="13.5" thickBot="1" x14ac:dyDescent="0.25">
      <c r="A15" s="93" t="s">
        <v>2</v>
      </c>
      <c r="B15" s="28"/>
      <c r="C15" s="125">
        <f>C13+C14</f>
        <v>43.4</v>
      </c>
      <c r="D15" s="29">
        <f>SUM(D13:D14)</f>
        <v>0.434</v>
      </c>
      <c r="E15" s="30">
        <f>SUM(E13:E14)</f>
        <v>0.10414992428492197</v>
      </c>
      <c r="F15" s="78"/>
      <c r="G15" s="31"/>
      <c r="H15" s="196" t="s">
        <v>68</v>
      </c>
      <c r="I15" s="197"/>
      <c r="J15" s="197"/>
      <c r="K15" s="198"/>
    </row>
    <row r="16" spans="1:45" s="3" customFormat="1" x14ac:dyDescent="0.2">
      <c r="A16" s="94" t="s">
        <v>29</v>
      </c>
      <c r="B16" s="32"/>
      <c r="C16" s="18" t="s">
        <v>3</v>
      </c>
      <c r="D16" s="33"/>
      <c r="E16" s="24"/>
      <c r="F16" s="77"/>
      <c r="G16" s="27"/>
      <c r="H16" s="184"/>
      <c r="I16" s="185"/>
      <c r="J16" s="185"/>
      <c r="K16" s="186"/>
    </row>
    <row r="17" spans="1:41" ht="14.25" x14ac:dyDescent="0.2">
      <c r="A17" s="95" t="s">
        <v>15</v>
      </c>
      <c r="B17" s="21">
        <v>22.99</v>
      </c>
      <c r="C17" s="22">
        <v>243</v>
      </c>
      <c r="D17" s="23">
        <f>C17/1000000</f>
        <v>2.43E-4</v>
      </c>
      <c r="E17" s="24">
        <f>D17/B17/$B$53</f>
        <v>3.0228555362587904E-4</v>
      </c>
      <c r="F17" s="103">
        <v>1</v>
      </c>
      <c r="G17" s="27">
        <f>E17</f>
        <v>3.0228555362587904E-4</v>
      </c>
      <c r="H17" s="172"/>
      <c r="I17" s="173"/>
      <c r="J17" s="173"/>
      <c r="K17" s="174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1" ht="14.25" x14ac:dyDescent="0.2">
      <c r="A18" s="95" t="s">
        <v>16</v>
      </c>
      <c r="B18" s="21">
        <v>39.097999999999999</v>
      </c>
      <c r="C18" s="34">
        <v>0</v>
      </c>
      <c r="D18" s="23">
        <f>C18/1000000</f>
        <v>0</v>
      </c>
      <c r="E18" s="24">
        <f>D18/B18/$B$53</f>
        <v>0</v>
      </c>
      <c r="F18" s="103">
        <v>1</v>
      </c>
      <c r="G18" s="27">
        <f>E18</f>
        <v>0</v>
      </c>
      <c r="H18" s="175"/>
      <c r="I18" s="176"/>
      <c r="J18" s="176"/>
      <c r="K18" s="177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1" ht="13.5" thickBot="1" x14ac:dyDescent="0.25">
      <c r="A19" s="96" t="s">
        <v>69</v>
      </c>
      <c r="B19" s="61">
        <f>D19/($B$53*E19)</f>
        <v>22.99</v>
      </c>
      <c r="C19" s="126">
        <f>SUM(C17:C18)</f>
        <v>243</v>
      </c>
      <c r="D19" s="62">
        <f>C19*0.000001</f>
        <v>2.43E-4</v>
      </c>
      <c r="E19" s="63">
        <f>SUM(E17:E18)</f>
        <v>3.0228555362587904E-4</v>
      </c>
      <c r="F19" s="79"/>
      <c r="G19" s="64">
        <f>SUM(G17:G18)</f>
        <v>3.0228555362587904E-4</v>
      </c>
      <c r="H19" s="178" t="s">
        <v>87</v>
      </c>
      <c r="I19" s="179"/>
      <c r="J19" s="179"/>
      <c r="K19" s="180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8"/>
    </row>
    <row r="20" spans="1:41" x14ac:dyDescent="0.2">
      <c r="A20" s="90" t="s">
        <v>30</v>
      </c>
      <c r="B20" s="35"/>
      <c r="C20" s="36" t="s">
        <v>3</v>
      </c>
      <c r="D20" s="37"/>
      <c r="E20" s="38"/>
      <c r="F20" s="80"/>
      <c r="G20" s="39"/>
      <c r="H20" s="169"/>
      <c r="I20" s="170"/>
      <c r="J20" s="170"/>
      <c r="K20" s="171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1" ht="14.25" x14ac:dyDescent="0.2">
      <c r="A21" s="95" t="s">
        <v>17</v>
      </c>
      <c r="B21" s="21">
        <v>45.017000000000003</v>
      </c>
      <c r="C21" s="34">
        <v>1561</v>
      </c>
      <c r="D21" s="23">
        <f t="shared" ref="D21:D33" si="0">C21/1000000</f>
        <v>1.5610000000000001E-3</v>
      </c>
      <c r="E21" s="24">
        <f t="shared" ref="E21:E33" si="1">D21/B21/$B$53</f>
        <v>9.9169116398165774E-4</v>
      </c>
      <c r="F21" s="103">
        <v>-1</v>
      </c>
      <c r="G21" s="27">
        <f>E21*F21</f>
        <v>-9.9169116398165774E-4</v>
      </c>
      <c r="H21" s="172"/>
      <c r="I21" s="173"/>
      <c r="J21" s="173"/>
      <c r="K21" s="174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1" ht="15.75" x14ac:dyDescent="0.3">
      <c r="A22" s="95" t="s">
        <v>18</v>
      </c>
      <c r="B22" s="21">
        <v>59.043999999999997</v>
      </c>
      <c r="C22" s="34">
        <v>409</v>
      </c>
      <c r="D22" s="23">
        <f t="shared" si="0"/>
        <v>4.0900000000000002E-4</v>
      </c>
      <c r="E22" s="24">
        <f t="shared" si="1"/>
        <v>1.9810599886339311E-4</v>
      </c>
      <c r="F22" s="103">
        <v>-1</v>
      </c>
      <c r="G22" s="27">
        <f t="shared" ref="G22:G33" si="2">E22*F22</f>
        <v>-1.9810599886339311E-4</v>
      </c>
      <c r="H22" s="172"/>
      <c r="I22" s="173"/>
      <c r="J22" s="173"/>
      <c r="K22" s="174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1" ht="15.75" x14ac:dyDescent="0.3">
      <c r="A23" s="95" t="s">
        <v>19</v>
      </c>
      <c r="B23" s="21">
        <v>75.044200000000004</v>
      </c>
      <c r="C23" s="34">
        <v>0</v>
      </c>
      <c r="D23" s="23">
        <f>C23/1000000</f>
        <v>0</v>
      </c>
      <c r="E23" s="24">
        <f t="shared" si="1"/>
        <v>0</v>
      </c>
      <c r="F23" s="103">
        <v>-1</v>
      </c>
      <c r="G23" s="27">
        <f t="shared" si="2"/>
        <v>0</v>
      </c>
      <c r="H23" s="172"/>
      <c r="I23" s="173"/>
      <c r="J23" s="173"/>
      <c r="K23" s="174"/>
      <c r="L23" s="3"/>
      <c r="M23" s="5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1" ht="15.75" x14ac:dyDescent="0.3">
      <c r="A24" s="95" t="s">
        <v>20</v>
      </c>
      <c r="B24" s="21">
        <v>74.078000000000003</v>
      </c>
      <c r="C24" s="34">
        <v>0</v>
      </c>
      <c r="D24" s="23">
        <f>C24/1000000</f>
        <v>0</v>
      </c>
      <c r="E24" s="24">
        <f t="shared" si="1"/>
        <v>0</v>
      </c>
      <c r="F24" s="103">
        <v>-1</v>
      </c>
      <c r="G24" s="27">
        <f t="shared" si="2"/>
        <v>0</v>
      </c>
      <c r="H24" s="172"/>
      <c r="I24" s="173"/>
      <c r="J24" s="173"/>
      <c r="K24" s="174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1" ht="15.75" x14ac:dyDescent="0.3">
      <c r="A25" s="95" t="s">
        <v>71</v>
      </c>
      <c r="B25" s="21">
        <f>4*12.011+7*1.008+2*15.9994</f>
        <v>87.098799999999997</v>
      </c>
      <c r="C25" s="34">
        <v>0</v>
      </c>
      <c r="D25" s="23">
        <f>C25/1000000</f>
        <v>0</v>
      </c>
      <c r="E25" s="24">
        <f t="shared" si="1"/>
        <v>0</v>
      </c>
      <c r="F25" s="103">
        <v>-1</v>
      </c>
      <c r="G25" s="27">
        <f t="shared" si="2"/>
        <v>0</v>
      </c>
      <c r="H25" s="172"/>
      <c r="I25" s="173"/>
      <c r="J25" s="173"/>
      <c r="K25" s="174"/>
      <c r="L25" s="68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1" ht="15.75" x14ac:dyDescent="0.3">
      <c r="A26" s="95" t="s">
        <v>21</v>
      </c>
      <c r="B26" s="21">
        <v>88.019000000000005</v>
      </c>
      <c r="C26" s="34">
        <v>9</v>
      </c>
      <c r="D26" s="23">
        <f t="shared" si="0"/>
        <v>9.0000000000000002E-6</v>
      </c>
      <c r="E26" s="24">
        <f t="shared" si="1"/>
        <v>2.9242612507732792E-6</v>
      </c>
      <c r="F26" s="103">
        <v>-2</v>
      </c>
      <c r="G26" s="27">
        <f t="shared" si="2"/>
        <v>-5.8485225015465584E-6</v>
      </c>
      <c r="H26" s="172"/>
      <c r="I26" s="173"/>
      <c r="J26" s="173"/>
      <c r="K26" s="174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1" ht="15.75" x14ac:dyDescent="0.3">
      <c r="A27" s="95" t="s">
        <v>70</v>
      </c>
      <c r="B27" s="21">
        <v>89.070999999999998</v>
      </c>
      <c r="C27" s="34">
        <v>0</v>
      </c>
      <c r="D27" s="23">
        <f t="shared" si="0"/>
        <v>0</v>
      </c>
      <c r="E27" s="24">
        <f t="shared" si="1"/>
        <v>0</v>
      </c>
      <c r="F27" s="103">
        <v>-1</v>
      </c>
      <c r="G27" s="27">
        <f t="shared" si="2"/>
        <v>0</v>
      </c>
      <c r="H27" s="172"/>
      <c r="I27" s="173"/>
      <c r="J27" s="173"/>
      <c r="K27" s="174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1" ht="15.75" x14ac:dyDescent="0.3">
      <c r="A28" s="95" t="s">
        <v>22</v>
      </c>
      <c r="B28" s="21">
        <v>98.004000000000005</v>
      </c>
      <c r="C28" s="34">
        <v>0</v>
      </c>
      <c r="D28" s="23">
        <f t="shared" si="0"/>
        <v>0</v>
      </c>
      <c r="E28" s="24">
        <f t="shared" si="1"/>
        <v>0</v>
      </c>
      <c r="F28" s="103">
        <v>-3</v>
      </c>
      <c r="G28" s="27">
        <f t="shared" si="2"/>
        <v>0</v>
      </c>
      <c r="H28" s="172"/>
      <c r="I28" s="173"/>
      <c r="J28" s="173"/>
      <c r="K28" s="174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1" ht="15.75" x14ac:dyDescent="0.3">
      <c r="A29" s="95" t="s">
        <v>23</v>
      </c>
      <c r="B29" s="21">
        <v>35.453000000000003</v>
      </c>
      <c r="C29" s="34">
        <v>133</v>
      </c>
      <c r="D29" s="23">
        <f t="shared" si="0"/>
        <v>1.3300000000000001E-4</v>
      </c>
      <c r="E29" s="24">
        <f t="shared" si="1"/>
        <v>1.0728740488105118E-4</v>
      </c>
      <c r="F29" s="103">
        <v>-1</v>
      </c>
      <c r="G29" s="27">
        <f t="shared" si="2"/>
        <v>-1.0728740488105118E-4</v>
      </c>
      <c r="H29" s="181" t="s">
        <v>92</v>
      </c>
      <c r="I29" s="182"/>
      <c r="J29" s="182"/>
      <c r="K29" s="18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41" ht="15.75" x14ac:dyDescent="0.3">
      <c r="A30" s="95" t="s">
        <v>24</v>
      </c>
      <c r="B30" s="21">
        <v>96.061000000000007</v>
      </c>
      <c r="C30" s="34">
        <v>19</v>
      </c>
      <c r="D30" s="23">
        <f t="shared" si="0"/>
        <v>1.9000000000000001E-5</v>
      </c>
      <c r="E30" s="24">
        <f t="shared" si="1"/>
        <v>5.6566145696825188E-6</v>
      </c>
      <c r="F30" s="104">
        <v>-2</v>
      </c>
      <c r="G30" s="27">
        <f t="shared" si="2"/>
        <v>-1.1313229139365038E-5</v>
      </c>
      <c r="H30" s="172"/>
      <c r="I30" s="173"/>
      <c r="J30" s="173"/>
      <c r="K30" s="174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1" ht="15.75" x14ac:dyDescent="0.3">
      <c r="A31" s="95" t="s">
        <v>25</v>
      </c>
      <c r="B31" s="21">
        <f>32.064+3*15.9994</f>
        <v>80.06219999999999</v>
      </c>
      <c r="C31" s="34">
        <v>0</v>
      </c>
      <c r="D31" s="23">
        <f t="shared" si="0"/>
        <v>0</v>
      </c>
      <c r="E31" s="24">
        <f t="shared" si="1"/>
        <v>0</v>
      </c>
      <c r="F31" s="104">
        <v>-1</v>
      </c>
      <c r="G31" s="27">
        <f t="shared" si="2"/>
        <v>0</v>
      </c>
      <c r="H31" s="172"/>
      <c r="I31" s="173"/>
      <c r="J31" s="173"/>
      <c r="K31" s="174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1" ht="15.75" x14ac:dyDescent="0.3">
      <c r="A32" s="95" t="s">
        <v>26</v>
      </c>
      <c r="B32" s="21">
        <v>112.127</v>
      </c>
      <c r="C32" s="34">
        <v>129</v>
      </c>
      <c r="D32" s="23">
        <f t="shared" si="0"/>
        <v>1.2899999999999999E-4</v>
      </c>
      <c r="E32" s="24">
        <f t="shared" si="1"/>
        <v>3.2902553040653221E-5</v>
      </c>
      <c r="F32" s="104">
        <v>-2</v>
      </c>
      <c r="G32" s="27">
        <f t="shared" si="2"/>
        <v>-6.5805106081306443E-5</v>
      </c>
      <c r="H32" s="172"/>
      <c r="I32" s="173"/>
      <c r="J32" s="173"/>
      <c r="K32" s="174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ht="14.25" x14ac:dyDescent="0.2">
      <c r="A33" s="97" t="s">
        <v>27</v>
      </c>
      <c r="B33" s="56">
        <v>58.082999999999998</v>
      </c>
      <c r="C33" s="57">
        <v>79</v>
      </c>
      <c r="D33" s="58">
        <f t="shared" si="0"/>
        <v>7.8999999999999996E-5</v>
      </c>
      <c r="E33" s="59">
        <f t="shared" si="1"/>
        <v>3.8898077906737389E-5</v>
      </c>
      <c r="F33" s="105">
        <v>-1</v>
      </c>
      <c r="G33" s="60">
        <f t="shared" si="2"/>
        <v>-3.8898077906737389E-5</v>
      </c>
      <c r="H33" s="175"/>
      <c r="I33" s="176"/>
      <c r="J33" s="176"/>
      <c r="K33" s="177"/>
      <c r="L33" s="3"/>
      <c r="M33" s="10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ht="13.5" thickBot="1" x14ac:dyDescent="0.25">
      <c r="A34" s="95" t="s">
        <v>67</v>
      </c>
      <c r="B34" s="28">
        <f>D34/($B$53*E34)</f>
        <v>48.562317110228534</v>
      </c>
      <c r="C34" s="127">
        <f>SUM(C21:C33)</f>
        <v>2339</v>
      </c>
      <c r="D34" s="29">
        <f>C34*0.000001</f>
        <v>2.3389999999999999E-3</v>
      </c>
      <c r="E34" s="24">
        <f>SUM(E21:E33)</f>
        <v>1.3774660744939485E-3</v>
      </c>
      <c r="F34" s="85"/>
      <c r="G34" s="75">
        <f>SUM(G21:G33)</f>
        <v>-1.4189495033550574E-3</v>
      </c>
      <c r="H34" s="178" t="s">
        <v>86</v>
      </c>
      <c r="I34" s="179"/>
      <c r="J34" s="179"/>
      <c r="K34" s="180"/>
      <c r="L34" s="3"/>
      <c r="M34" s="10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x14ac:dyDescent="0.2">
      <c r="A35" s="90" t="s">
        <v>38</v>
      </c>
      <c r="B35" s="35"/>
      <c r="C35" s="36" t="s">
        <v>1</v>
      </c>
      <c r="D35" s="37"/>
      <c r="E35" s="38"/>
      <c r="F35" s="80"/>
      <c r="G35" s="39"/>
      <c r="H35" s="169"/>
      <c r="I35" s="170"/>
      <c r="J35" s="170"/>
      <c r="K35" s="17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40" ht="15.75" x14ac:dyDescent="0.3">
      <c r="A36" s="92" t="s">
        <v>36</v>
      </c>
      <c r="B36" s="41">
        <f>32.064+2*1.008</f>
        <v>34.08</v>
      </c>
      <c r="C36" s="34">
        <v>4.9000000000000002E-2</v>
      </c>
      <c r="D36" s="42">
        <f>C36/100</f>
        <v>4.8999999999999998E-4</v>
      </c>
      <c r="E36" s="24">
        <f>D36/B36/$B$53</f>
        <v>4.1119382500517905E-4</v>
      </c>
      <c r="F36" s="104">
        <v>-1</v>
      </c>
      <c r="G36" s="43">
        <f>E36*F36</f>
        <v>-4.1119382500517905E-4</v>
      </c>
      <c r="H36" s="160"/>
      <c r="I36" s="161"/>
      <c r="J36" s="161"/>
      <c r="K36" s="162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0" ht="15.75" x14ac:dyDescent="0.3">
      <c r="A37" s="92" t="s">
        <v>37</v>
      </c>
      <c r="B37" s="41">
        <f>12.011+2*15.9994</f>
        <v>44.009799999999998</v>
      </c>
      <c r="C37" s="34">
        <v>0</v>
      </c>
      <c r="D37" s="42">
        <f>C37/100</f>
        <v>0</v>
      </c>
      <c r="E37" s="24">
        <f>D37/B37/$B$53</f>
        <v>0</v>
      </c>
      <c r="F37" s="104">
        <v>-1</v>
      </c>
      <c r="G37" s="43">
        <f t="shared" ref="G37:G39" si="3">E37*F37</f>
        <v>0</v>
      </c>
      <c r="H37" s="160"/>
      <c r="I37" s="161"/>
      <c r="J37" s="161"/>
      <c r="K37" s="162"/>
      <c r="L37" s="10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1:40" x14ac:dyDescent="0.2">
      <c r="A38" s="98" t="s">
        <v>40</v>
      </c>
      <c r="B38" s="65">
        <f>IF(C38&gt;0,C38/(C36/B36+C37/B37),(B36+B37)/2)</f>
        <v>34.08</v>
      </c>
      <c r="C38" s="128">
        <f>C36+C37</f>
        <v>4.9000000000000002E-2</v>
      </c>
      <c r="D38" s="66">
        <f>C38/100</f>
        <v>4.8999999999999998E-4</v>
      </c>
      <c r="E38" s="59">
        <f>D38/B38/$B$53</f>
        <v>4.1119382500517905E-4</v>
      </c>
      <c r="F38" s="105">
        <v>-1</v>
      </c>
      <c r="G38" s="67">
        <f t="shared" si="3"/>
        <v>-4.1119382500517905E-4</v>
      </c>
      <c r="H38" s="163"/>
      <c r="I38" s="164"/>
      <c r="J38" s="164"/>
      <c r="K38" s="165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ht="15" thickBot="1" x14ac:dyDescent="0.25">
      <c r="A39" s="99" t="s">
        <v>91</v>
      </c>
      <c r="B39" s="44">
        <v>33.064999999999998</v>
      </c>
      <c r="C39" s="129">
        <f>BisulfideWtFr*100</f>
        <v>3.5989936615238791E-2</v>
      </c>
      <c r="D39" s="151">
        <v>3.5989936615238793E-4</v>
      </c>
      <c r="E39" s="45">
        <f>D39/B39/$B$53</f>
        <v>3.1128819050007048E-4</v>
      </c>
      <c r="F39" s="104">
        <v>-1</v>
      </c>
      <c r="G39" s="31">
        <f t="shared" si="3"/>
        <v>-3.1128819050007048E-4</v>
      </c>
      <c r="H39" s="166"/>
      <c r="I39" s="167"/>
      <c r="J39" s="167"/>
      <c r="K39" s="168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x14ac:dyDescent="0.2">
      <c r="A40" s="90" t="s">
        <v>39</v>
      </c>
      <c r="B40" s="35"/>
      <c r="C40" s="36" t="s">
        <v>1</v>
      </c>
      <c r="D40" s="37"/>
      <c r="E40" s="38"/>
      <c r="F40" s="80"/>
      <c r="G40" s="39"/>
      <c r="H40" s="169"/>
      <c r="I40" s="170"/>
      <c r="J40" s="170"/>
      <c r="K40" s="171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x14ac:dyDescent="0.2">
      <c r="A41" s="121" t="s">
        <v>48</v>
      </c>
      <c r="B41" s="122">
        <v>163.17400000000001</v>
      </c>
      <c r="C41" s="34">
        <v>0</v>
      </c>
      <c r="D41" s="42">
        <f>C41/100</f>
        <v>0</v>
      </c>
      <c r="E41" s="46">
        <f>IF(B41&gt;0,D41/B41/$B$53,0)</f>
        <v>0</v>
      </c>
      <c r="F41" s="123">
        <v>0</v>
      </c>
      <c r="G41" s="83">
        <f>E41*F41</f>
        <v>0</v>
      </c>
      <c r="H41" s="157"/>
      <c r="I41" s="158"/>
      <c r="J41" s="158"/>
      <c r="K41" s="159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x14ac:dyDescent="0.2">
      <c r="A42" s="121" t="s">
        <v>44</v>
      </c>
      <c r="B42" s="122">
        <v>0</v>
      </c>
      <c r="C42" s="34">
        <v>0</v>
      </c>
      <c r="D42" s="42">
        <f t="shared" ref="D42:D48" si="4">C42/100</f>
        <v>0</v>
      </c>
      <c r="E42" s="46">
        <f t="shared" ref="E42:E48" si="5">IF(B42&gt;0,D42/B42/$B$53,0)</f>
        <v>0</v>
      </c>
      <c r="F42" s="123">
        <v>0</v>
      </c>
      <c r="G42" s="83">
        <f t="shared" ref="G42:G46" si="6">E42*F42</f>
        <v>0</v>
      </c>
      <c r="H42" s="157"/>
      <c r="I42" s="158"/>
      <c r="J42" s="158"/>
      <c r="K42" s="159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x14ac:dyDescent="0.2">
      <c r="A43" s="121" t="s">
        <v>45</v>
      </c>
      <c r="B43" s="122">
        <v>0</v>
      </c>
      <c r="C43" s="34">
        <v>0</v>
      </c>
      <c r="D43" s="42">
        <f t="shared" si="4"/>
        <v>0</v>
      </c>
      <c r="E43" s="46">
        <f t="shared" si="5"/>
        <v>0</v>
      </c>
      <c r="F43" s="123">
        <v>0</v>
      </c>
      <c r="G43" s="83">
        <f t="shared" si="6"/>
        <v>0</v>
      </c>
      <c r="H43" s="157"/>
      <c r="I43" s="158"/>
      <c r="J43" s="158"/>
      <c r="K43" s="159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x14ac:dyDescent="0.2">
      <c r="A44" s="121" t="s">
        <v>46</v>
      </c>
      <c r="B44" s="122">
        <v>0</v>
      </c>
      <c r="C44" s="34">
        <v>0</v>
      </c>
      <c r="D44" s="42">
        <f t="shared" si="4"/>
        <v>0</v>
      </c>
      <c r="E44" s="46">
        <f t="shared" si="5"/>
        <v>0</v>
      </c>
      <c r="F44" s="123">
        <v>0</v>
      </c>
      <c r="G44" s="83">
        <f t="shared" si="6"/>
        <v>0</v>
      </c>
      <c r="H44" s="157"/>
      <c r="I44" s="158"/>
      <c r="J44" s="158"/>
      <c r="K44" s="159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x14ac:dyDescent="0.2">
      <c r="A45" s="121" t="s">
        <v>46</v>
      </c>
      <c r="B45" s="122">
        <v>0</v>
      </c>
      <c r="C45" s="34">
        <v>0</v>
      </c>
      <c r="D45" s="42">
        <f t="shared" si="4"/>
        <v>0</v>
      </c>
      <c r="E45" s="46">
        <f t="shared" si="5"/>
        <v>0</v>
      </c>
      <c r="F45" s="123">
        <v>0</v>
      </c>
      <c r="G45" s="83">
        <f t="shared" si="6"/>
        <v>0</v>
      </c>
      <c r="H45" s="157"/>
      <c r="I45" s="158"/>
      <c r="J45" s="158"/>
      <c r="K45" s="159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0" ht="13.5" thickBot="1" x14ac:dyDescent="0.25">
      <c r="A46" s="121" t="s">
        <v>47</v>
      </c>
      <c r="B46" s="122">
        <v>0</v>
      </c>
      <c r="C46" s="40">
        <v>0</v>
      </c>
      <c r="D46" s="42">
        <f t="shared" si="4"/>
        <v>0</v>
      </c>
      <c r="E46" s="46">
        <f t="shared" si="5"/>
        <v>0</v>
      </c>
      <c r="F46" s="124">
        <v>0</v>
      </c>
      <c r="G46" s="84">
        <f t="shared" si="6"/>
        <v>0</v>
      </c>
      <c r="H46" s="154"/>
      <c r="I46" s="155"/>
      <c r="J46" s="155"/>
      <c r="K46" s="156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0" ht="14.25" x14ac:dyDescent="0.25">
      <c r="A47" s="90" t="s">
        <v>42</v>
      </c>
      <c r="B47" s="35"/>
      <c r="C47" s="36" t="s">
        <v>1</v>
      </c>
      <c r="D47" s="37"/>
      <c r="E47" s="38"/>
      <c r="F47" s="80"/>
      <c r="G47" s="72"/>
      <c r="H47" s="130" t="s">
        <v>50</v>
      </c>
      <c r="I47" s="74"/>
      <c r="J47" s="74"/>
      <c r="K47" s="131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1:40" x14ac:dyDescent="0.2">
      <c r="A48" s="92" t="s">
        <v>43</v>
      </c>
      <c r="B48" s="21">
        <v>18.015000000000001</v>
      </c>
      <c r="C48" s="47">
        <v>55</v>
      </c>
      <c r="D48" s="42">
        <f t="shared" si="4"/>
        <v>0.55000000000000004</v>
      </c>
      <c r="E48" s="46">
        <f t="shared" si="5"/>
        <v>0.87312920139079975</v>
      </c>
      <c r="F48" s="81"/>
      <c r="G48" s="71"/>
      <c r="H48" s="152" t="s">
        <v>51</v>
      </c>
      <c r="I48" s="14"/>
      <c r="J48" s="14"/>
      <c r="K48" s="132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s="3" customFormat="1" ht="16.5" thickBot="1" x14ac:dyDescent="0.35">
      <c r="A49" s="100" t="s">
        <v>41</v>
      </c>
      <c r="B49" s="28">
        <v>18.015000000000001</v>
      </c>
      <c r="C49" s="133">
        <f>D49*100</f>
        <v>56.305810063384776</v>
      </c>
      <c r="D49" s="29">
        <f>1-SUM(D13,D14,D17:D18,D21:D33,D39,D41:D46)</f>
        <v>0.56305810063384776</v>
      </c>
      <c r="E49" s="30">
        <f>D49/B49/$B$53</f>
        <v>0.89385903589645821</v>
      </c>
      <c r="F49" s="78"/>
      <c r="G49" s="73"/>
      <c r="H49" s="134" t="s">
        <v>52</v>
      </c>
      <c r="I49" s="69"/>
      <c r="J49" s="69"/>
      <c r="K49" s="132"/>
    </row>
    <row r="50" spans="1:40" s="3" customFormat="1" ht="13.5" thickBot="1" x14ac:dyDescent="0.25">
      <c r="A50" s="101" t="s">
        <v>2</v>
      </c>
      <c r="B50" s="48">
        <f>1/B53</f>
        <v>28.59895011464592</v>
      </c>
      <c r="C50" s="135">
        <f>100*D50</f>
        <v>100</v>
      </c>
      <c r="D50" s="49">
        <f>SUM(D13:D14,D17:D18,D21:D33,D41:D46)+IF(H48="Calculated",D49,D48)+IF(H50="Calculated",BisulfideWtFr,D38)</f>
        <v>1</v>
      </c>
      <c r="E50" s="50">
        <f>SUM(E13:E14,E17:E18,E21:E33,E41:E46)+IF(H48="Calculated",E49,E48)+IF(H50="Calculated",E39,E38)</f>
        <v>1</v>
      </c>
      <c r="F50" s="82"/>
      <c r="G50" s="102">
        <f>SUM(G14,G19,G34,G39,G41:G46)</f>
        <v>-3.7622261567509148E-9</v>
      </c>
      <c r="H50" s="153" t="s">
        <v>51</v>
      </c>
      <c r="I50" s="70"/>
      <c r="J50" s="70"/>
      <c r="K50" s="136"/>
    </row>
    <row r="51" spans="1:40" s="3" customFormat="1" x14ac:dyDescent="0.2">
      <c r="A51" s="11"/>
      <c r="B51" s="12"/>
      <c r="C51" s="9"/>
      <c r="D51" s="13"/>
      <c r="E51" s="13"/>
      <c r="F51" s="13"/>
      <c r="G51" s="14"/>
      <c r="H51" s="14"/>
      <c r="I51" s="14"/>
      <c r="J51" s="14"/>
      <c r="K51" s="9"/>
    </row>
    <row r="52" spans="1:40" s="3" customFormat="1" x14ac:dyDescent="0.2">
      <c r="A52" s="5" t="s">
        <v>53</v>
      </c>
      <c r="B52" s="4" t="s">
        <v>5</v>
      </c>
      <c r="C52" s="9"/>
      <c r="D52" s="6" t="str">
        <f>IF(ABS(G50)&gt;0.0000005,"Not converged", "Converged")</f>
        <v>Converged</v>
      </c>
      <c r="E52" s="13"/>
      <c r="F52" s="13"/>
      <c r="G52" s="14"/>
      <c r="H52" s="14"/>
      <c r="I52" s="14"/>
      <c r="J52" s="14"/>
      <c r="K52" s="9"/>
    </row>
    <row r="53" spans="1:40" x14ac:dyDescent="0.2">
      <c r="A53" s="15" t="s">
        <v>55</v>
      </c>
      <c r="B53" s="16">
        <f>D13/B13+D14/B14+D17/B17+D18/B18+D21/B21+D22/B22+D23/B23+D24/B24+D26/B26+D28/B28+D29/B29+D30/B30+D31/B31+D32/B32+D33/B33+IF(H50="Calculated",D39/B39,IF(B36&gt;0,D36/B36,0)+IF(B37&gt;0,D37/B37,0))+IF(H48="Calculated",D49/B49,D48/B48)+IF(B41&gt;0,D41/B41,0)+IF(B42&gt;0,D42/B42,0)+IF(B43&gt;0,D43/B43,0)+IF(B44&gt;0,D44/B44,0)+IF(B45&gt;0,D45/B45,0)+IF(B46&gt;0,D46/B46,0)</f>
        <v>3.4966318553347385E-2</v>
      </c>
      <c r="C53" s="4"/>
      <c r="D53" s="137"/>
      <c r="E53" s="138"/>
      <c r="F53" s="140" t="str">
        <f>IF(AmineTypeUsed&lt;&gt;"MDEA", "Warning: charge balance may be invalid if significant CO2 loading exists.","")</f>
        <v/>
      </c>
      <c r="G53" s="139"/>
      <c r="H53" s="139"/>
      <c r="I53" s="139"/>
      <c r="J53" s="139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1:40" x14ac:dyDescent="0.2">
      <c r="A54" s="7" t="s">
        <v>54</v>
      </c>
      <c r="B54" s="141">
        <f>E39/E15</f>
        <v>2.9888470168109036E-3</v>
      </c>
      <c r="C54" s="4" t="s">
        <v>4</v>
      </c>
      <c r="D54" s="4"/>
      <c r="E54" s="138"/>
      <c r="F54" s="138"/>
      <c r="G54" s="139"/>
      <c r="H54" s="139"/>
      <c r="I54" s="139"/>
      <c r="J54" s="139"/>
      <c r="K54" s="4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 spans="1:40" x14ac:dyDescent="0.2">
      <c r="A55" s="4"/>
      <c r="B55" s="6"/>
      <c r="C55" s="4"/>
      <c r="D55" s="4"/>
      <c r="E55" s="4"/>
      <c r="F55" s="4"/>
      <c r="G55" s="4"/>
      <c r="H55" s="4"/>
      <c r="I55" s="4"/>
      <c r="J55" s="4"/>
      <c r="K55" s="4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spans="1:40" ht="38.25" x14ac:dyDescent="0.2">
      <c r="A56" s="86" t="s">
        <v>62</v>
      </c>
      <c r="B56" s="142" t="s">
        <v>88</v>
      </c>
      <c r="C56" s="142" t="s">
        <v>60</v>
      </c>
      <c r="D56" s="4"/>
      <c r="E56" s="4"/>
      <c r="F56" s="4"/>
      <c r="G56" s="4"/>
      <c r="H56" s="4"/>
      <c r="I56" s="4"/>
      <c r="J56" s="4"/>
      <c r="K56" s="4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</row>
    <row r="57" spans="1:40" ht="15.75" x14ac:dyDescent="0.3">
      <c r="A57" s="53" t="s">
        <v>58</v>
      </c>
      <c r="B57" s="143">
        <f>E36/E13</f>
        <v>4.0029781492694491E-3</v>
      </c>
      <c r="C57" s="143">
        <f>E36/E15</f>
        <v>3.9480952850266121E-3</v>
      </c>
      <c r="D57" s="4"/>
      <c r="E57" s="4"/>
      <c r="F57" s="4"/>
      <c r="G57" s="4"/>
      <c r="H57" s="4"/>
      <c r="I57" s="4"/>
      <c r="J57" s="4"/>
      <c r="K57" s="4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</row>
    <row r="58" spans="1:40" ht="15.75" x14ac:dyDescent="0.3">
      <c r="A58" s="53" t="s">
        <v>59</v>
      </c>
      <c r="B58" s="143">
        <f>E37/E13</f>
        <v>0</v>
      </c>
      <c r="C58" s="143">
        <f>E37/E15</f>
        <v>0</v>
      </c>
      <c r="D58" s="4"/>
      <c r="E58" s="4"/>
      <c r="F58" s="4"/>
      <c r="G58" s="4"/>
      <c r="H58" s="4"/>
      <c r="I58" s="4"/>
      <c r="J58" s="4"/>
      <c r="K58" s="4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</row>
    <row r="59" spans="1:40" x14ac:dyDescent="0.2">
      <c r="A59" s="54" t="s">
        <v>2</v>
      </c>
      <c r="B59" s="144">
        <f>SUM(B57:B58)</f>
        <v>4.0029781492694491E-3</v>
      </c>
      <c r="C59" s="144">
        <f>SUM(C57:C58)</f>
        <v>3.9480952850266121E-3</v>
      </c>
      <c r="D59" s="4"/>
      <c r="E59" s="4"/>
      <c r="F59" s="4"/>
      <c r="G59" s="4"/>
      <c r="H59" s="4"/>
      <c r="I59" s="4"/>
      <c r="J59" s="4"/>
      <c r="K59" s="4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</row>
    <row r="60" spans="1:40" x14ac:dyDescent="0.2">
      <c r="A60" s="54" t="s">
        <v>72</v>
      </c>
      <c r="B60" s="144">
        <f>E39/E13</f>
        <v>3.0303952757114315E-3</v>
      </c>
      <c r="C60" s="144">
        <f>E39/E15</f>
        <v>2.9888470168109036E-3</v>
      </c>
      <c r="D60" s="4"/>
      <c r="E60" s="145" t="s">
        <v>61</v>
      </c>
      <c r="F60" s="4"/>
      <c r="G60" s="4"/>
      <c r="H60" s="4"/>
      <c r="I60" s="4"/>
      <c r="J60" s="4"/>
      <c r="K60" s="4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</row>
    <row r="61" spans="1:40" x14ac:dyDescent="0.2">
      <c r="A61" s="146"/>
      <c r="B61" s="4"/>
      <c r="C61" s="4"/>
      <c r="D61" s="4"/>
      <c r="E61" s="4"/>
      <c r="F61" s="4"/>
      <c r="G61" s="4"/>
      <c r="H61" s="4"/>
      <c r="I61" s="4"/>
      <c r="J61" s="4"/>
      <c r="K61" s="4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</row>
    <row r="62" spans="1:40" x14ac:dyDescent="0.2">
      <c r="A62" s="145" t="s">
        <v>64</v>
      </c>
      <c r="B62" s="147">
        <f>100-C13-C48</f>
        <v>2.2000000000000028</v>
      </c>
      <c r="C62" s="4" t="s">
        <v>66</v>
      </c>
      <c r="D62" s="4"/>
      <c r="E62" s="4"/>
      <c r="F62" s="4"/>
      <c r="G62" s="4"/>
      <c r="H62" s="4"/>
      <c r="I62" s="4"/>
      <c r="J62" s="4"/>
      <c r="K62" s="4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</row>
    <row r="63" spans="1:40" x14ac:dyDescent="0.2">
      <c r="A63" s="145" t="s">
        <v>65</v>
      </c>
      <c r="B63" s="147">
        <f>C15+0.0001*SUM(C17:C18,C21:C33)+C38+SUM(C41:C46)+C48</f>
        <v>98.7072</v>
      </c>
      <c r="C63" s="145" t="s">
        <v>57</v>
      </c>
      <c r="D63" s="4"/>
      <c r="E63" s="4"/>
      <c r="F63" s="4"/>
      <c r="G63" s="4"/>
      <c r="H63" s="4"/>
      <c r="I63" s="4"/>
      <c r="J63" s="4"/>
      <c r="K63" s="4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</row>
    <row r="64" spans="1:40" x14ac:dyDescent="0.2">
      <c r="A64" s="145" t="s">
        <v>90</v>
      </c>
      <c r="B64" s="147">
        <f>(ABS(SUM(G21:G33))-SUM(G17:G18))/E15*100</f>
        <v>1.0721697182172993</v>
      </c>
      <c r="C64" s="145"/>
      <c r="D64" s="4"/>
      <c r="E64" s="4"/>
      <c r="F64" s="4"/>
      <c r="G64" s="4"/>
      <c r="H64" s="4"/>
      <c r="I64" s="4"/>
      <c r="J64" s="4"/>
      <c r="K64" s="4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</row>
    <row r="65" spans="1:40" x14ac:dyDescent="0.2">
      <c r="A65" s="145" t="s">
        <v>74</v>
      </c>
      <c r="B65" s="147">
        <f>ABS(G19/G34)*100</f>
        <v>21.303475064555517</v>
      </c>
      <c r="C65" s="145" t="s">
        <v>85</v>
      </c>
      <c r="D65" s="4"/>
      <c r="E65" s="4"/>
      <c r="F65" s="4"/>
      <c r="G65" s="4"/>
      <c r="H65" s="4"/>
      <c r="I65" s="4"/>
      <c r="J65" s="4"/>
      <c r="K65" s="4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</row>
    <row r="66" spans="1:40" x14ac:dyDescent="0.2">
      <c r="A66" s="148" t="s">
        <v>35</v>
      </c>
      <c r="B66" s="149">
        <f>B64/100*C15</f>
        <v>0.46532165770630796</v>
      </c>
      <c r="C66" s="148" t="s">
        <v>73</v>
      </c>
      <c r="D66" s="150"/>
      <c r="E66" s="4"/>
      <c r="F66" s="4"/>
      <c r="G66" s="4"/>
      <c r="H66" s="4"/>
      <c r="I66" s="4"/>
      <c r="J66" s="4"/>
      <c r="K66" s="4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</row>
    <row r="67" spans="1:40" x14ac:dyDescent="0.2"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</row>
    <row r="68" spans="1:40" x14ac:dyDescent="0.2"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</row>
    <row r="69" spans="1:40" x14ac:dyDescent="0.2"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</sheetData>
  <sheetProtection sheet="1" objects="1" scenarios="1"/>
  <mergeCells count="37">
    <mergeCell ref="A4:C4"/>
    <mergeCell ref="H12:K12"/>
    <mergeCell ref="H11:K11"/>
    <mergeCell ref="H14:K14"/>
    <mergeCell ref="H13:K13"/>
    <mergeCell ref="H15:K15"/>
    <mergeCell ref="H16:K16"/>
    <mergeCell ref="H17:K17"/>
    <mergeCell ref="H18:K18"/>
    <mergeCell ref="H19:K19"/>
    <mergeCell ref="H20:K20"/>
    <mergeCell ref="H21:K21"/>
    <mergeCell ref="H22:K22"/>
    <mergeCell ref="H23:K23"/>
    <mergeCell ref="H24:K24"/>
    <mergeCell ref="H25:K25"/>
    <mergeCell ref="H26:K26"/>
    <mergeCell ref="H27:K27"/>
    <mergeCell ref="H28:K28"/>
    <mergeCell ref="H29:K29"/>
    <mergeCell ref="H30:K30"/>
    <mergeCell ref="H31:K31"/>
    <mergeCell ref="H32:K32"/>
    <mergeCell ref="H33:K33"/>
    <mergeCell ref="H34:K34"/>
    <mergeCell ref="H35:K35"/>
    <mergeCell ref="H36:K36"/>
    <mergeCell ref="H37:K37"/>
    <mergeCell ref="H38:K38"/>
    <mergeCell ref="H39:K39"/>
    <mergeCell ref="H40:K40"/>
    <mergeCell ref="H46:K46"/>
    <mergeCell ref="H41:K41"/>
    <mergeCell ref="H42:K42"/>
    <mergeCell ref="H43:K43"/>
    <mergeCell ref="H44:K44"/>
    <mergeCell ref="H45:K45"/>
  </mergeCells>
  <phoneticPr fontId="0" type="noConversion"/>
  <conditionalFormatting sqref="B55 D52">
    <cfRule type="cellIs" dxfId="1" priority="1" stopIfTrue="1" operator="notEqual">
      <formula>"Converged"</formula>
    </cfRule>
    <cfRule type="cellIs" dxfId="0" priority="2" stopIfTrue="1" operator="equal">
      <formula>"Converged"</formula>
    </cfRule>
  </conditionalFormatting>
  <dataValidations count="2">
    <dataValidation type="list" allowBlank="1" showInputMessage="1" showErrorMessage="1" sqref="B12">
      <formula1>AmineTypes</formula1>
    </dataValidation>
    <dataValidation type="list" allowBlank="1" showInputMessage="1" showErrorMessage="1" sqref="H48 H50">
      <formula1>WaterOptions</formula1>
    </dataValidation>
  </dataValidations>
  <hyperlinks>
    <hyperlink ref="D4" r:id="rId1"/>
  </hyperlinks>
  <printOptions horizontalCentered="1"/>
  <pageMargins left="0.75" right="0.25" top="0.5" bottom="0.5" header="0.5" footer="0.5"/>
  <pageSetup scale="71" orientation="portrait" r:id="rId2"/>
  <headerFooter alignWithMargins="0"/>
  <colBreaks count="1" manualBreakCount="1">
    <brk id="11" max="1048575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Button 1">
              <controlPr defaultSize="0" print="0" autoFill="0" autoPict="0" macro="[0]!SolveChargeBalance">
                <anchor moveWithCells="1" sizeWithCells="1">
                  <from>
                    <xdr:col>3</xdr:col>
                    <xdr:colOff>295275</xdr:colOff>
                    <xdr:row>52</xdr:row>
                    <xdr:rowOff>0</xdr:rowOff>
                  </from>
                  <to>
                    <xdr:col>4</xdr:col>
                    <xdr:colOff>419100</xdr:colOff>
                    <xdr:row>53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Sheet1</vt:lpstr>
      <vt:lpstr>AG_Option</vt:lpstr>
      <vt:lpstr>AmineTypes</vt:lpstr>
      <vt:lpstr>AmineTypeUsed</vt:lpstr>
      <vt:lpstr>BisulfideWtFr</vt:lpstr>
      <vt:lpstr>ChargeBal</vt:lpstr>
      <vt:lpstr>Sheet1!Print_Area</vt:lpstr>
      <vt:lpstr>WaterOptions</vt:lpstr>
    </vt:vector>
  </TitlesOfParts>
  <Company>Optimized Gas Treating,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Nate Hatcher</dc:creator>
  <cp:lastModifiedBy>Nate Hatcher</cp:lastModifiedBy>
  <cp:lastPrinted>2011-09-09T15:27:27Z</cp:lastPrinted>
  <dcterms:created xsi:type="dcterms:W3CDTF">2007-12-12T19:49:09Z</dcterms:created>
  <dcterms:modified xsi:type="dcterms:W3CDTF">2011-09-09T16:17:57Z</dcterms:modified>
</cp:coreProperties>
</file>